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/>
  </bookViews>
  <sheets>
    <sheet name="Адресный перечень" sheetId="14" r:id="rId1"/>
  </sheets>
  <definedNames>
    <definedName name="_xlnm._FilterDatabase" localSheetId="0" hidden="1">'Адресный перечень'!$B$3:$F$5</definedName>
    <definedName name="_xlnm.Print_Titles" localSheetId="0">'Адресный перечень'!$3:$5</definedName>
    <definedName name="_xlnm.Print_Area" localSheetId="0">'Адресный перечень'!$A$1:$J$150</definedName>
  </definedNames>
  <calcPr calcId="162913"/>
</workbook>
</file>

<file path=xl/calcChain.xml><?xml version="1.0" encoding="utf-8"?>
<calcChain xmlns="http://schemas.openxmlformats.org/spreadsheetml/2006/main">
  <c r="H150" i="14" l="1"/>
  <c r="H149" i="14"/>
  <c r="H148" i="14"/>
  <c r="H147" i="14"/>
  <c r="H146" i="14"/>
  <c r="H145" i="14"/>
  <c r="H144" i="14"/>
  <c r="H143" i="14"/>
  <c r="H139" i="14"/>
  <c r="H142" i="14"/>
  <c r="H141" i="14"/>
  <c r="H140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51" i="14"/>
  <c r="H63" i="14"/>
  <c r="H62" i="14"/>
  <c r="H61" i="14"/>
  <c r="H50" i="14"/>
  <c r="H49" i="14"/>
  <c r="H60" i="14"/>
  <c r="H59" i="14"/>
  <c r="H58" i="14"/>
  <c r="H57" i="14"/>
  <c r="H56" i="14"/>
  <c r="H55" i="14"/>
  <c r="H48" i="14"/>
  <c r="H54" i="14"/>
  <c r="H47" i="14"/>
  <c r="H46" i="14"/>
  <c r="H45" i="14"/>
  <c r="H44" i="14"/>
  <c r="H43" i="14"/>
  <c r="H53" i="14"/>
  <c r="H42" i="14"/>
  <c r="H41" i="14"/>
  <c r="H40" i="14"/>
  <c r="H39" i="14"/>
  <c r="H38" i="14"/>
  <c r="H37" i="14"/>
  <c r="H36" i="14"/>
  <c r="H35" i="14"/>
  <c r="H34" i="14"/>
  <c r="H33" i="14"/>
  <c r="H26" i="14"/>
  <c r="H52" i="14"/>
  <c r="H25" i="14"/>
  <c r="H24" i="14"/>
  <c r="H23" i="14"/>
  <c r="H22" i="14"/>
  <c r="H21" i="14"/>
  <c r="H20" i="14"/>
  <c r="H19" i="14"/>
  <c r="H18" i="14"/>
  <c r="H17" i="14"/>
  <c r="H16" i="14"/>
  <c r="H32" i="14"/>
  <c r="H15" i="14"/>
  <c r="H14" i="14"/>
  <c r="H31" i="14"/>
  <c r="H13" i="14"/>
  <c r="H12" i="14"/>
  <c r="H30" i="14"/>
  <c r="H29" i="14"/>
  <c r="H11" i="14"/>
  <c r="H28" i="14"/>
  <c r="H27" i="14"/>
  <c r="H10" i="14"/>
  <c r="H9" i="14"/>
  <c r="H8" i="14"/>
  <c r="H7" i="14"/>
  <c r="H6" i="14"/>
</calcChain>
</file>

<file path=xl/sharedStrings.xml><?xml version="1.0" encoding="utf-8"?>
<sst xmlns="http://schemas.openxmlformats.org/spreadsheetml/2006/main" count="209" uniqueCount="183">
  <si>
    <t>№ п/п</t>
  </si>
  <si>
    <t>Дата подачи заявки</t>
  </si>
  <si>
    <t>Время подачи</t>
  </si>
  <si>
    <t>10.09.2020</t>
  </si>
  <si>
    <t>14.09.2020</t>
  </si>
  <si>
    <t>22.09.2020</t>
  </si>
  <si>
    <t>23.09.2020</t>
  </si>
  <si>
    <t>24.09.2020</t>
  </si>
  <si>
    <t>25.09.2020</t>
  </si>
  <si>
    <t>28.09.2020</t>
  </si>
  <si>
    <t>29.09.2020</t>
  </si>
  <si>
    <t>Общая сумма баллов</t>
  </si>
  <si>
    <t>Расчет платежеспособности</t>
  </si>
  <si>
    <t>Примечания</t>
  </si>
  <si>
    <t>В заключении о техническом состоянии внутриквартальный проезд находится в удовлетворительном состоянии</t>
  </si>
  <si>
    <t>к Протоколу общего собрания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представителей;</t>
  </si>
  <si>
    <t>к Протоколам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</t>
  </si>
  <si>
    <t>к Протоколу общего собрания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</t>
  </si>
  <si>
    <t>протокол от 21.12.2018 года, не включены в повестку вопросы:
- о «Принятие решения о включении в адресный перечень дворовых территорий многоквартирных домов, расположенных на территории Ангарского городского округа, в рамках проекта Ангарского городского округа «Дворы без ям»;
 - Избрание лица, которое вправе действовать в интересах заинтересованных лиц, а также на участие в контроле и приемке работ по ремонту внутриквартальных проездов</t>
  </si>
  <si>
    <t xml:space="preserve"> к Протоколу общего собрания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представителей;</t>
  </si>
  <si>
    <t xml:space="preserve">к Протоколу общего собрания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представителей; </t>
  </si>
  <si>
    <t>Протокол общего собрания оформлен с нарушениями требований части 2 Приказа 
№ 44/пр;
- Сообщение о проведении собрания и акт о размещении сообщения оформлены с нарушением сроков проведения собрания;
- Письменные решения (бюллетени) собственников помещений оформлены с нарушениями:
▪ в одном решении не указано волеизъявление собственника;
▪ даты заполнения не соответствуют дате проведения заочной части ОСС; 
- к Протоколу общего собрания не приложен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</t>
  </si>
  <si>
    <t xml:space="preserve">Протокол общего собрания оформлен с нарушениями требований части 2 Приказа 
№ 44/пр;
- к Протоколу общего собрания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представителей; </t>
  </si>
  <si>
    <t xml:space="preserve"> 76 квартал, дом 12</t>
  </si>
  <si>
    <t>95 Б квартал, дом 1</t>
  </si>
  <si>
    <t>93 квартал, дом 7</t>
  </si>
  <si>
    <t>29 микрорайон, дом 2</t>
  </si>
  <si>
    <t xml:space="preserve"> 93 квартал, дом 29</t>
  </si>
  <si>
    <t>93 квартал, дом17А</t>
  </si>
  <si>
    <t>92 квартал, дом 18</t>
  </si>
  <si>
    <t xml:space="preserve"> 6а микрорайон, дом 25</t>
  </si>
  <si>
    <t>7а микрорайон , дом 10</t>
  </si>
  <si>
    <t>10 микрорайон, дом 42</t>
  </si>
  <si>
    <t>29 микрорайон, дом 4</t>
  </si>
  <si>
    <t>92 квартал, дом 6</t>
  </si>
  <si>
    <t>13 микрорайон, дом 24</t>
  </si>
  <si>
    <t>6а микрорайон, дом 18</t>
  </si>
  <si>
    <t>271 квартал, дом 4</t>
  </si>
  <si>
    <t>93 квартал, дом 101</t>
  </si>
  <si>
    <t>95 квартал, дом 9</t>
  </si>
  <si>
    <t>11 микрорайон, дом 5</t>
  </si>
  <si>
    <t>29 микрорайон, дом 7</t>
  </si>
  <si>
    <t>88 квартал , дома 18,19</t>
  </si>
  <si>
    <t>88 квартал, дома 16,17</t>
  </si>
  <si>
    <t>88 квартал, дома 1,25</t>
  </si>
  <si>
    <t>88 квартал, дома 11,12,13</t>
  </si>
  <si>
    <t>88 квартал, дома 20,21</t>
  </si>
  <si>
    <t>86 квартал, дома 13,14</t>
  </si>
  <si>
    <t>6а микрорайон, дом 7</t>
  </si>
  <si>
    <t>7 микрорайон, дом А</t>
  </si>
  <si>
    <t>179 квартал, дом 3</t>
  </si>
  <si>
    <t>179 квартал, дом 4</t>
  </si>
  <si>
    <t>179 квартал, дом 2</t>
  </si>
  <si>
    <t>179 квартал, дом 1</t>
  </si>
  <si>
    <t>93 квартал, дом 6</t>
  </si>
  <si>
    <t>9 микрорайон, дом 91</t>
  </si>
  <si>
    <t>9 микрорайон, дом 90</t>
  </si>
  <si>
    <t>7 микрорайон, дом 11</t>
  </si>
  <si>
    <t>49  квартал, дом 18</t>
  </si>
  <si>
    <t>7 микрорайон, дом 13</t>
  </si>
  <si>
    <t>6а микрорайон, дом 43</t>
  </si>
  <si>
    <t>29 микрорайон, дом 15</t>
  </si>
  <si>
    <t>9 микрорайон, дом 87</t>
  </si>
  <si>
    <t>6а микрорайон, дом 30</t>
  </si>
  <si>
    <t>92/93 квартал, дом 4</t>
  </si>
  <si>
    <t>211 квартал, дом 2</t>
  </si>
  <si>
    <t>211 квартал, дом 3</t>
  </si>
  <si>
    <t>17 микрорайон, дом 5</t>
  </si>
  <si>
    <t>91 квартал, дом 18</t>
  </si>
  <si>
    <t>10 микрорайон, дом 33</t>
  </si>
  <si>
    <t>6а микрорайон, дом 47</t>
  </si>
  <si>
    <t>96 квартал, дом 2</t>
  </si>
  <si>
    <t>271 квартал, дом 3</t>
  </si>
  <si>
    <t>73 квартал, дом 8</t>
  </si>
  <si>
    <t>19 квартал, дом 5</t>
  </si>
  <si>
    <t>19 квартал, дом 7</t>
  </si>
  <si>
    <t>33 микрорайон, дом 9</t>
  </si>
  <si>
    <t>7а микрорайон, дом 9</t>
  </si>
  <si>
    <t>58 квартал, дом 30</t>
  </si>
  <si>
    <t>7 микрорайон, дом 9</t>
  </si>
  <si>
    <t>17 микрорайон, дом 7</t>
  </si>
  <si>
    <t>17 микрорайон, дом 20</t>
  </si>
  <si>
    <t>26 квартал, дом 13</t>
  </si>
  <si>
    <t>26 квартал, дом 12</t>
  </si>
  <si>
    <t>26 квартал, дом 11</t>
  </si>
  <si>
    <t>18 микрорайон, дом 8</t>
  </si>
  <si>
    <t>17 микрорайон, дом 14</t>
  </si>
  <si>
    <t>18 микрорайон, дом1</t>
  </si>
  <si>
    <t>7а микрорайон, дом 1</t>
  </si>
  <si>
    <t>26 квартал, дом 4</t>
  </si>
  <si>
    <t>37 квартал, дом 1</t>
  </si>
  <si>
    <t>37 квартал, дом 7</t>
  </si>
  <si>
    <t>26 квартал, дом 7</t>
  </si>
  <si>
    <t>37 квартал, дом 11</t>
  </si>
  <si>
    <t>33 микрорайон, дом 6</t>
  </si>
  <si>
    <t>85 квартал, дом 21</t>
  </si>
  <si>
    <t>13 микрорайон, дом 1</t>
  </si>
  <si>
    <t>219 квартал, дом 13</t>
  </si>
  <si>
    <t>55 квартал, дом 6</t>
  </si>
  <si>
    <t>10 микрорайон, дом 39</t>
  </si>
  <si>
    <t>11 микрорайон, дом 11</t>
  </si>
  <si>
    <t>72 квартал, дом13</t>
  </si>
  <si>
    <t>13 микрорайон, дом13</t>
  </si>
  <si>
    <t>100 квартал, дом 10</t>
  </si>
  <si>
    <t>п. Мегет, 1 квартал, дом 39</t>
  </si>
  <si>
    <t>п. Мегет, 1 квартал, дом 47</t>
  </si>
  <si>
    <t>мкр.Цементный, ул.Бабушкина, дом 1</t>
  </si>
  <si>
    <t>мкр.Цементный, ул.Бабушкина, дом 2</t>
  </si>
  <si>
    <t>мкр.Цементный, ул.Бабушкина, дом 10</t>
  </si>
  <si>
    <t>мкр.Цементный, ул.Бабушкина, дом 21</t>
  </si>
  <si>
    <t>мкр.Цементный, ул.Достоевского, дом 3</t>
  </si>
  <si>
    <t>мкр.Цементный, ул.Достоевского, дома 7, 9</t>
  </si>
  <si>
    <t>мкр.Цементный, ул.Лесная, дом 3</t>
  </si>
  <si>
    <t>мкр.Цементный, ул.Клубная, дом 11</t>
  </si>
  <si>
    <t>94 квартал, дом 19</t>
  </si>
  <si>
    <t>80 квартал, дом1</t>
  </si>
  <si>
    <t>92 квартал, дом 24</t>
  </si>
  <si>
    <t>11 микрорайон, дом 18</t>
  </si>
  <si>
    <t>95 квартал, дом 1</t>
  </si>
  <si>
    <t>49 квартал, дом 11</t>
  </si>
  <si>
    <t>94 квартал, дом 14</t>
  </si>
  <si>
    <t>94 квартал, дом 12</t>
  </si>
  <si>
    <t>94 квартал, дом 18</t>
  </si>
  <si>
    <t>94квартал, дом 15</t>
  </si>
  <si>
    <t>94 квартал, дом 13</t>
  </si>
  <si>
    <t>94 квартал, дом 16</t>
  </si>
  <si>
    <t>19 микрорайон, дом 8</t>
  </si>
  <si>
    <t>94 квартал, дом 1</t>
  </si>
  <si>
    <t>92 квартал, дом 2</t>
  </si>
  <si>
    <t>278 квартал, дом 6</t>
  </si>
  <si>
    <t>7 микрорайон, дом 6</t>
  </si>
  <si>
    <t>7 микрорайон, дом 14б</t>
  </si>
  <si>
    <t xml:space="preserve"> 6а микрорайон, дом 8</t>
  </si>
  <si>
    <t>6 микрорайон, дом 11</t>
  </si>
  <si>
    <t>271 квартал, дом 1</t>
  </si>
  <si>
    <t xml:space="preserve">102 квартал, дом 3 </t>
  </si>
  <si>
    <t>6 микрорайон, дом 16Г</t>
  </si>
  <si>
    <t>7 микрорайон, дом В</t>
  </si>
  <si>
    <t xml:space="preserve">7 микрорайон, дом15 </t>
  </si>
  <si>
    <t>19 микрорайон, дом 3</t>
  </si>
  <si>
    <t>81 квартал, дом 5</t>
  </si>
  <si>
    <t>92/93 квартал, дом 12</t>
  </si>
  <si>
    <t>19 квартал, дом 1</t>
  </si>
  <si>
    <t xml:space="preserve"> 6а микрорайон, дом 5</t>
  </si>
  <si>
    <t>75 квартал, дом 22</t>
  </si>
  <si>
    <t>15 микрорайон, дом 40</t>
  </si>
  <si>
    <t>11 микрорайон, дом 7а</t>
  </si>
  <si>
    <t>93 квариал, дом 4/4а</t>
  </si>
  <si>
    <t>11 микрорайон, дом 12</t>
  </si>
  <si>
    <t>11 микрорайон, дом 19</t>
  </si>
  <si>
    <t>13 микрорайон, дом 11</t>
  </si>
  <si>
    <t>№ в рейтинге</t>
  </si>
  <si>
    <t>Депутат Д.В. Ягодзинский</t>
  </si>
  <si>
    <t>52 квартал, дом 5</t>
  </si>
  <si>
    <t>6а микрорайон, дом 28</t>
  </si>
  <si>
    <t>Депутат А.А. Козлов
Надо доложить  реестр собтвенников, список присутствующих, письменные решения собственников</t>
  </si>
  <si>
    <t>Депутат А.А. Козлов
Надо доложить реестр собтвенников, список присутствующих, письменные решения собственников</t>
  </si>
  <si>
    <t>Депутат А.А. Козлов
Надо доложить собтвенников, список присутствующих, письменные решения собственников</t>
  </si>
  <si>
    <t>Депутат А.А. Козлов
 Надо доложить реестр собтвенников, список присутствующих, письменные решения собственников</t>
  </si>
  <si>
    <t xml:space="preserve">Депутат А.А. Козлов
Надо доложить реестр собтвенников, список присутствующих, письменные решения собственников, в заявке отсутствует протокол на дом №15 </t>
  </si>
  <si>
    <t>Депутат А.А. Козлов
Надо доложить  собтвенников, списк присутствующих, письменные решения собственников, письменные решения собственников</t>
  </si>
  <si>
    <t xml:space="preserve">Депутат А.А. Козлов
Надо доложить реестр собтвенников, список присутствующих, письменные решения собственников, в приложенной справке от иркутскэнергосбыта к заявке нет домов на какие заявляются, от управляющей компании нет справки на дом 13, </t>
  </si>
  <si>
    <t xml:space="preserve">
Протокол общего собрания оформлен с нарушениями требований части 2 Приказа 
№ 44/пр;
- к Протоколу общего собрания не приложены: 
1) копия текста сообщения о проведении общего собрания;
2) акт о размещении сообщения о проведении общего собрания;
3) список присутствующих лиц, принявших участие в очной части собрания;
4) реестр собственников помещений в многоквартирном доме, содержащий сведения о собственниках всех помещений в многоквартирном доме с указанием фамилии, имени, отчества (последнее - при наличии) собственников - физических лиц, полного наименования и ОГРН собственников - юридических лиц, номера принадлежащих им на праве собственности помещений в многоквартирном доме (при наличии), реквизиты документов, подтверждающих их право собственности на указанные помещения, сведения о форме собственности в отношении каждого из указанных помещений, сведения о площади каждого помещения в многоквартирном доме и о доле в праве собственности на такие помещения, принадлежащей каждому из их собственников;
5) письменные решения (бюллетени) собственников помещений и их представителей, принявших участие в проведенном общем собрании, которые должны содержать сведения, позволяющие идентифицировать лиц, заполнивших их (для физических лиц - сведения, предусмотренные подпунктом "а" пункта 13 настоящих Требований, для юридических лиц - сведения, предусмотренные подпунктом "б" пункта 13 настоящих Требований), дату их заполнения, а также сведения о волеизъявлении собственников помещений и их представителей; </t>
  </si>
  <si>
    <t>49 квартал, дом 19</t>
  </si>
  <si>
    <t>Адресная территория</t>
  </si>
  <si>
    <t>Адресный перечень дворовых территорий в многоквартирных домах, расположенных на территории Ангарского городского округа, требующих ремонта внутриквартальных проездов, в рамках проекта Ангарского городского округа «Дворы без ям»</t>
  </si>
  <si>
    <t>реализовано в 2021 году</t>
  </si>
  <si>
    <t>Информация о ремонтах внутриквартальных проездов и очередность планируемых к ремонту</t>
  </si>
  <si>
    <t>59 квартал, дом 2,3</t>
  </si>
  <si>
    <t>реализовано в 2022 году</t>
  </si>
  <si>
    <t>19  микрорайон - дом 1, 2, 3</t>
  </si>
  <si>
    <t>8  микрорайон, дома 5,6</t>
  </si>
  <si>
    <t>61 квартал - дома 11,14,15</t>
  </si>
  <si>
    <t>49 квартал дома 12,13,14,15</t>
  </si>
  <si>
    <t>72 квартал дом 14,14а</t>
  </si>
  <si>
    <t>72 квартал - дом 2</t>
  </si>
  <si>
    <t>76 квартал, дом 18,9</t>
  </si>
  <si>
    <t>74 квартал, дом 8, 10</t>
  </si>
  <si>
    <t>9 микрорайон , дом 27</t>
  </si>
  <si>
    <t>12 а микрорайон - дом № 6</t>
  </si>
  <si>
    <t>8 микрорайон - дома 91,92,93</t>
  </si>
  <si>
    <t>8 микрорайон - дома № 1, 7</t>
  </si>
  <si>
    <t>50 квартал - дома № 8,15,17,18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</si>
</sst>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20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14" fontId="2" fillId="2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/>
    <xf numFmtId="0" fontId="3" fillId="2" borderId="1" xfId="0" applyFont="1" applyFill="1" applyBorder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tabSelected="1" topLeftCell="B42" zoomScale="70" zoomScaleNormal="70" workbookViewId="0">
      <selection activeCell="C57" sqref="C57"/>
    </sheetView>
  </sheetViews>
  <sheetFormatPr defaultColWidth="9.140625" defaultRowHeight="15.75" x14ac:dyDescent="0.25"/>
  <cols>
    <col min="1" max="1" width="5.42578125" style="1" hidden="1" customWidth="1"/>
    <col min="2" max="2" width="29.85546875" customWidth="1"/>
    <col min="3" max="3" width="33.140625" style="1" customWidth="1"/>
    <col min="4" max="4" width="29.85546875" style="1" customWidth="1"/>
    <col min="5" max="5" width="36.7109375" style="1" customWidth="1"/>
    <col min="6" max="6" width="22.5703125" customWidth="1"/>
    <col min="7" max="7" width="29.85546875" hidden="1" customWidth="1"/>
    <col min="8" max="8" width="27.140625" style="1" hidden="1" customWidth="1"/>
    <col min="9" max="9" width="144.42578125" style="1" hidden="1" customWidth="1"/>
    <col min="10" max="10" width="30.140625" style="1" customWidth="1"/>
    <col min="11" max="13" width="9.140625" style="1"/>
    <col min="14" max="14" width="0" style="1" hidden="1" customWidth="1"/>
    <col min="15" max="16384" width="9.140625" style="1"/>
  </cols>
  <sheetData>
    <row r="1" spans="1:14" ht="42" customHeight="1" x14ac:dyDescent="0.25">
      <c r="A1" s="24"/>
      <c r="B1" s="35" t="s">
        <v>165</v>
      </c>
      <c r="C1" s="35"/>
      <c r="D1" s="35"/>
      <c r="E1" s="35"/>
      <c r="F1" s="35"/>
      <c r="G1" s="35"/>
      <c r="H1" s="35"/>
      <c r="I1" s="35"/>
      <c r="J1" s="35"/>
    </row>
    <row r="2" spans="1:14" x14ac:dyDescent="0.25">
      <c r="A2" s="37"/>
      <c r="B2" s="37"/>
      <c r="C2" s="37"/>
      <c r="D2" s="37"/>
      <c r="E2" s="37"/>
      <c r="F2" s="37"/>
      <c r="G2" s="26"/>
      <c r="H2" s="25"/>
    </row>
    <row r="3" spans="1:14" s="3" customFormat="1" ht="15.75" customHeight="1" x14ac:dyDescent="0.3">
      <c r="A3" s="38" t="s">
        <v>0</v>
      </c>
      <c r="B3" s="38" t="s">
        <v>151</v>
      </c>
      <c r="C3" s="38" t="s">
        <v>164</v>
      </c>
      <c r="D3" s="38" t="s">
        <v>1</v>
      </c>
      <c r="E3" s="38" t="s">
        <v>2</v>
      </c>
      <c r="F3" s="34" t="s">
        <v>11</v>
      </c>
      <c r="G3" s="38" t="s">
        <v>151</v>
      </c>
      <c r="H3" s="36" t="s">
        <v>12</v>
      </c>
      <c r="I3" s="36" t="s">
        <v>13</v>
      </c>
      <c r="J3" s="34" t="s">
        <v>167</v>
      </c>
      <c r="K3" s="2"/>
    </row>
    <row r="4" spans="1:14" s="3" customFormat="1" ht="18.75" x14ac:dyDescent="0.3">
      <c r="A4" s="39"/>
      <c r="B4" s="39"/>
      <c r="C4" s="39"/>
      <c r="D4" s="39"/>
      <c r="E4" s="39"/>
      <c r="F4" s="34"/>
      <c r="G4" s="39"/>
      <c r="H4" s="36"/>
      <c r="I4" s="36"/>
      <c r="J4" s="34"/>
      <c r="K4" s="4"/>
    </row>
    <row r="5" spans="1:14" s="3" customFormat="1" ht="111" customHeight="1" x14ac:dyDescent="0.3">
      <c r="A5" s="40"/>
      <c r="B5" s="40"/>
      <c r="C5" s="40"/>
      <c r="D5" s="40"/>
      <c r="E5" s="40"/>
      <c r="F5" s="34"/>
      <c r="G5" s="40"/>
      <c r="H5" s="36"/>
      <c r="I5" s="36"/>
      <c r="J5" s="34"/>
      <c r="K5" s="4"/>
    </row>
    <row r="6" spans="1:14" s="12" customFormat="1" ht="24.75" customHeight="1" x14ac:dyDescent="0.3">
      <c r="A6" s="5">
        <v>1</v>
      </c>
      <c r="B6" s="8">
        <v>1</v>
      </c>
      <c r="C6" s="5" t="s">
        <v>25</v>
      </c>
      <c r="D6" s="6" t="s">
        <v>7</v>
      </c>
      <c r="E6" s="7">
        <v>0.65833333333333333</v>
      </c>
      <c r="F6" s="8">
        <v>75</v>
      </c>
      <c r="G6" s="8">
        <v>1</v>
      </c>
      <c r="H6" s="9">
        <f>(119+98+101.16+102.15+113.5+100.05)/6</f>
        <v>105.64333333333332</v>
      </c>
      <c r="I6" s="10"/>
      <c r="J6" s="31" t="s">
        <v>166</v>
      </c>
      <c r="K6" s="11"/>
      <c r="L6" s="11"/>
      <c r="N6" s="8">
        <v>1</v>
      </c>
    </row>
    <row r="7" spans="1:14" s="12" customFormat="1" ht="24.75" customHeight="1" x14ac:dyDescent="0.3">
      <c r="A7" s="5">
        <v>2</v>
      </c>
      <c r="B7" s="8">
        <v>2</v>
      </c>
      <c r="C7" s="8" t="s">
        <v>40</v>
      </c>
      <c r="D7" s="13">
        <v>44104</v>
      </c>
      <c r="E7" s="14">
        <v>0.68472222222222223</v>
      </c>
      <c r="F7" s="8">
        <v>75</v>
      </c>
      <c r="G7" s="8">
        <v>2</v>
      </c>
      <c r="H7" s="9">
        <f>(103.62+99.31+115.53+100.14+88+74)/6</f>
        <v>96.766666666666666</v>
      </c>
      <c r="I7" s="10"/>
      <c r="J7" s="32"/>
      <c r="K7" s="11"/>
      <c r="N7" s="8">
        <v>2</v>
      </c>
    </row>
    <row r="8" spans="1:14" s="12" customFormat="1" ht="24.75" customHeight="1" x14ac:dyDescent="0.3">
      <c r="A8" s="5">
        <v>3</v>
      </c>
      <c r="B8" s="8">
        <v>3</v>
      </c>
      <c r="C8" s="8" t="s">
        <v>45</v>
      </c>
      <c r="D8" s="13">
        <v>44105</v>
      </c>
      <c r="E8" s="14">
        <v>0.43055555555555558</v>
      </c>
      <c r="F8" s="8">
        <v>75</v>
      </c>
      <c r="G8" s="8">
        <v>3</v>
      </c>
      <c r="H8" s="9">
        <f>(99+100+85.8+97+104+85.6+103+89)/8</f>
        <v>95.424999999999997</v>
      </c>
      <c r="I8" s="10"/>
      <c r="J8" s="32"/>
      <c r="K8" s="11"/>
      <c r="N8" s="8">
        <v>3</v>
      </c>
    </row>
    <row r="9" spans="1:14" s="12" customFormat="1" ht="24.75" customHeight="1" x14ac:dyDescent="0.3">
      <c r="A9" s="5">
        <v>4</v>
      </c>
      <c r="B9" s="8">
        <v>4</v>
      </c>
      <c r="C9" s="8" t="s">
        <v>47</v>
      </c>
      <c r="D9" s="13">
        <v>44105</v>
      </c>
      <c r="E9" s="14">
        <v>0.44097222222222227</v>
      </c>
      <c r="F9" s="8">
        <v>75</v>
      </c>
      <c r="G9" s="8">
        <v>4</v>
      </c>
      <c r="H9" s="9">
        <f>(86.1+115.87+79+77+88.9+120+122+113.27)/8</f>
        <v>100.2675</v>
      </c>
      <c r="I9" s="10"/>
      <c r="J9" s="32"/>
      <c r="K9" s="11"/>
      <c r="N9" s="8">
        <v>4</v>
      </c>
    </row>
    <row r="10" spans="1:14" s="12" customFormat="1" ht="24.75" customHeight="1" x14ac:dyDescent="0.3">
      <c r="A10" s="5">
        <v>5</v>
      </c>
      <c r="B10" s="8">
        <v>5</v>
      </c>
      <c r="C10" s="8" t="s">
        <v>48</v>
      </c>
      <c r="D10" s="13">
        <v>44105</v>
      </c>
      <c r="E10" s="14">
        <v>0.66666666666666663</v>
      </c>
      <c r="F10" s="8">
        <v>75</v>
      </c>
      <c r="G10" s="8">
        <v>5</v>
      </c>
      <c r="H10" s="9">
        <f>(98+99+99.76+100.35+108.05+96.02)/6</f>
        <v>100.19666666666667</v>
      </c>
      <c r="I10" s="10"/>
      <c r="J10" s="32"/>
      <c r="K10" s="11"/>
      <c r="N10" s="8">
        <v>5</v>
      </c>
    </row>
    <row r="11" spans="1:14" s="12" customFormat="1" ht="24.75" customHeight="1" x14ac:dyDescent="0.3">
      <c r="A11" s="5">
        <v>8</v>
      </c>
      <c r="B11" s="8">
        <v>6</v>
      </c>
      <c r="C11" s="8" t="s">
        <v>85</v>
      </c>
      <c r="D11" s="13">
        <v>44117</v>
      </c>
      <c r="E11" s="14">
        <v>0.52430555555555558</v>
      </c>
      <c r="F11" s="8">
        <v>75</v>
      </c>
      <c r="G11" s="8">
        <v>8</v>
      </c>
      <c r="H11" s="9">
        <f>(96+94+99.42+103.42+100.95+99.28)/6</f>
        <v>98.845000000000013</v>
      </c>
      <c r="I11" s="10"/>
      <c r="J11" s="32"/>
      <c r="K11" s="11"/>
      <c r="N11" s="8">
        <v>8</v>
      </c>
    </row>
    <row r="12" spans="1:14" s="12" customFormat="1" ht="24.75" customHeight="1" x14ac:dyDescent="0.3">
      <c r="A12" s="5">
        <v>11</v>
      </c>
      <c r="B12" s="8">
        <v>7</v>
      </c>
      <c r="C12" s="8" t="s">
        <v>125</v>
      </c>
      <c r="D12" s="13">
        <v>44119</v>
      </c>
      <c r="E12" s="14">
        <v>0.48958333333333331</v>
      </c>
      <c r="F12" s="8">
        <v>75</v>
      </c>
      <c r="G12" s="8">
        <v>11</v>
      </c>
      <c r="H12" s="9">
        <f>(96.54+98.03+103.66+103.07+92+86)/6</f>
        <v>96.55</v>
      </c>
      <c r="I12" s="16"/>
      <c r="J12" s="32"/>
      <c r="K12" s="11"/>
      <c r="N12" s="8">
        <v>11</v>
      </c>
    </row>
    <row r="13" spans="1:14" s="12" customFormat="1" ht="24.75" customHeight="1" x14ac:dyDescent="0.3">
      <c r="A13" s="5">
        <v>12</v>
      </c>
      <c r="B13" s="8">
        <v>8</v>
      </c>
      <c r="C13" s="8" t="s">
        <v>142</v>
      </c>
      <c r="D13" s="13">
        <v>44119</v>
      </c>
      <c r="E13" s="14">
        <v>0.71875</v>
      </c>
      <c r="F13" s="8">
        <v>75</v>
      </c>
      <c r="G13" s="8">
        <v>12</v>
      </c>
      <c r="H13" s="9">
        <f>(84+97.76+96.92+96.09+105+99)/6</f>
        <v>96.461666666666659</v>
      </c>
      <c r="I13" s="10"/>
      <c r="J13" s="32"/>
      <c r="K13" s="11"/>
      <c r="N13" s="8">
        <v>12</v>
      </c>
    </row>
    <row r="14" spans="1:14" s="12" customFormat="1" ht="24.75" customHeight="1" x14ac:dyDescent="0.3">
      <c r="A14" s="5">
        <v>14</v>
      </c>
      <c r="B14" s="8">
        <v>9</v>
      </c>
      <c r="C14" s="5" t="s">
        <v>34</v>
      </c>
      <c r="D14" s="6" t="s">
        <v>10</v>
      </c>
      <c r="E14" s="7">
        <v>0.50763888888888886</v>
      </c>
      <c r="F14" s="8">
        <v>70</v>
      </c>
      <c r="G14" s="8">
        <v>14</v>
      </c>
      <c r="H14" s="9">
        <f>(72+79+94.78+91.59+94.39+85.33)/6</f>
        <v>86.181666666666672</v>
      </c>
      <c r="I14" s="10"/>
      <c r="J14" s="32"/>
      <c r="K14" s="11"/>
      <c r="N14" s="8">
        <v>14</v>
      </c>
    </row>
    <row r="15" spans="1:14" s="12" customFormat="1" ht="24.75" customHeight="1" x14ac:dyDescent="0.3">
      <c r="A15" s="5">
        <v>15</v>
      </c>
      <c r="B15" s="8">
        <v>10</v>
      </c>
      <c r="C15" s="8" t="s">
        <v>42</v>
      </c>
      <c r="D15" s="13">
        <v>44105</v>
      </c>
      <c r="E15" s="14">
        <v>0.4201388888888889</v>
      </c>
      <c r="F15" s="8">
        <v>70</v>
      </c>
      <c r="G15" s="8">
        <v>15</v>
      </c>
      <c r="H15" s="9">
        <f>(77+65+87.5+119.14+88.3+69+52+106.92)/8</f>
        <v>83.107500000000002</v>
      </c>
      <c r="I15" s="10" t="s">
        <v>162</v>
      </c>
      <c r="J15" s="32"/>
      <c r="K15" s="11"/>
      <c r="N15" s="8">
        <v>15</v>
      </c>
    </row>
    <row r="16" spans="1:14" s="12" customFormat="1" ht="24.75" customHeight="1" x14ac:dyDescent="0.3">
      <c r="A16" s="5">
        <v>17</v>
      </c>
      <c r="B16" s="8">
        <v>11</v>
      </c>
      <c r="C16" s="15" t="s">
        <v>59</v>
      </c>
      <c r="D16" s="13">
        <v>44112</v>
      </c>
      <c r="E16" s="14">
        <v>0.59652777777777777</v>
      </c>
      <c r="F16" s="8">
        <v>70</v>
      </c>
      <c r="G16" s="8">
        <v>17</v>
      </c>
      <c r="H16" s="9">
        <f>(85+84+93.21+106.36+105.96+94.22)/6</f>
        <v>94.791666666666671</v>
      </c>
      <c r="I16" s="10" t="s">
        <v>160</v>
      </c>
      <c r="J16" s="32"/>
      <c r="K16" s="11"/>
      <c r="N16" s="8">
        <v>17</v>
      </c>
    </row>
    <row r="17" spans="1:14" s="12" customFormat="1" ht="24.75" customHeight="1" x14ac:dyDescent="0.3">
      <c r="A17" s="5">
        <v>18</v>
      </c>
      <c r="B17" s="8">
        <v>12</v>
      </c>
      <c r="C17" s="8" t="s">
        <v>64</v>
      </c>
      <c r="D17" s="13">
        <v>44112</v>
      </c>
      <c r="E17" s="14">
        <v>0.67847222222222225</v>
      </c>
      <c r="F17" s="8">
        <v>70</v>
      </c>
      <c r="G17" s="8">
        <v>18</v>
      </c>
      <c r="H17" s="9">
        <f>(87+95+94.05+90.65+101.02+98.1)/6</f>
        <v>94.303333333333342</v>
      </c>
      <c r="I17" s="16"/>
      <c r="J17" s="32"/>
      <c r="K17" s="11"/>
      <c r="N17" s="8">
        <v>18</v>
      </c>
    </row>
    <row r="18" spans="1:14" s="12" customFormat="1" ht="24.75" customHeight="1" x14ac:dyDescent="0.3">
      <c r="A18" s="8">
        <v>19</v>
      </c>
      <c r="B18" s="8">
        <v>13</v>
      </c>
      <c r="C18" s="8" t="s">
        <v>75</v>
      </c>
      <c r="D18" s="13">
        <v>44117</v>
      </c>
      <c r="E18" s="14">
        <v>0.46180555555555558</v>
      </c>
      <c r="F18" s="8">
        <v>70</v>
      </c>
      <c r="G18" s="8">
        <v>19</v>
      </c>
      <c r="H18" s="9">
        <f>(122.97+97.64+102.27+74+69+63)/6</f>
        <v>88.146666666666661</v>
      </c>
      <c r="I18" s="10"/>
      <c r="J18" s="32"/>
      <c r="N18" s="8">
        <v>19</v>
      </c>
    </row>
    <row r="19" spans="1:14" s="12" customFormat="1" ht="24.75" customHeight="1" x14ac:dyDescent="0.3">
      <c r="A19" s="8">
        <v>20</v>
      </c>
      <c r="B19" s="8">
        <v>14</v>
      </c>
      <c r="C19" s="8" t="s">
        <v>79</v>
      </c>
      <c r="D19" s="13">
        <v>44117</v>
      </c>
      <c r="E19" s="14">
        <v>0.48541666666666666</v>
      </c>
      <c r="F19" s="8">
        <v>70</v>
      </c>
      <c r="G19" s="8">
        <v>20</v>
      </c>
      <c r="H19" s="9">
        <f>(92.68+85.32+97.23+83+83+98.84)/6</f>
        <v>90.01166666666667</v>
      </c>
      <c r="I19" s="10"/>
      <c r="J19" s="32"/>
      <c r="N19" s="8">
        <v>20</v>
      </c>
    </row>
    <row r="20" spans="1:14" s="12" customFormat="1" ht="24.75" customHeight="1" x14ac:dyDescent="0.3">
      <c r="A20" s="8">
        <v>21</v>
      </c>
      <c r="B20" s="8">
        <v>15</v>
      </c>
      <c r="C20" s="8" t="s">
        <v>99</v>
      </c>
      <c r="D20" s="13">
        <v>44118</v>
      </c>
      <c r="E20" s="14">
        <v>0.62847222222222221</v>
      </c>
      <c r="F20" s="8">
        <v>70</v>
      </c>
      <c r="G20" s="8">
        <v>21</v>
      </c>
      <c r="H20" s="9">
        <f>(80+91+88.6+104.1+106.62+98.57)/6</f>
        <v>94.815000000000012</v>
      </c>
      <c r="I20" s="10"/>
      <c r="J20" s="32"/>
      <c r="N20" s="8">
        <v>21</v>
      </c>
    </row>
    <row r="21" spans="1:14" s="12" customFormat="1" ht="24.75" customHeight="1" x14ac:dyDescent="0.3">
      <c r="A21" s="8">
        <v>22</v>
      </c>
      <c r="B21" s="8">
        <v>16</v>
      </c>
      <c r="C21" s="8" t="s">
        <v>127</v>
      </c>
      <c r="D21" s="13">
        <v>44119</v>
      </c>
      <c r="E21" s="14">
        <v>0.6333333333333333</v>
      </c>
      <c r="F21" s="8">
        <v>70</v>
      </c>
      <c r="G21" s="8">
        <v>22</v>
      </c>
      <c r="H21" s="9">
        <f>(91+88+91.48+93.71+86.08+96.49)/6</f>
        <v>91.126666666666665</v>
      </c>
      <c r="I21" s="10"/>
      <c r="J21" s="32"/>
      <c r="N21" s="8">
        <v>22</v>
      </c>
    </row>
    <row r="22" spans="1:14" s="12" customFormat="1" ht="24.75" customHeight="1" x14ac:dyDescent="0.3">
      <c r="A22" s="8">
        <v>23</v>
      </c>
      <c r="B22" s="8">
        <v>17</v>
      </c>
      <c r="C22" s="8" t="s">
        <v>74</v>
      </c>
      <c r="D22" s="13">
        <v>44117</v>
      </c>
      <c r="E22" s="14">
        <v>0.45347222222222222</v>
      </c>
      <c r="F22" s="8">
        <v>60</v>
      </c>
      <c r="G22" s="8">
        <v>23</v>
      </c>
      <c r="H22" s="9">
        <f>(83.6+79.82+70.58+79+62+85)/6</f>
        <v>76.666666666666671</v>
      </c>
      <c r="I22" s="10"/>
      <c r="J22" s="32"/>
      <c r="N22" s="8">
        <v>23</v>
      </c>
    </row>
    <row r="23" spans="1:14" s="12" customFormat="1" ht="24.75" customHeight="1" x14ac:dyDescent="0.3">
      <c r="A23" s="8">
        <v>24</v>
      </c>
      <c r="B23" s="8">
        <v>18</v>
      </c>
      <c r="C23" s="8" t="s">
        <v>133</v>
      </c>
      <c r="D23" s="13">
        <v>44119</v>
      </c>
      <c r="E23" s="14">
        <v>0.67013888888888884</v>
      </c>
      <c r="F23" s="8">
        <v>60</v>
      </c>
      <c r="G23" s="8">
        <v>24</v>
      </c>
      <c r="H23" s="9">
        <f>(99.04+0+0+0+0+0)/6</f>
        <v>16.506666666666668</v>
      </c>
      <c r="I23" s="10" t="s">
        <v>152</v>
      </c>
      <c r="J23" s="32"/>
      <c r="N23" s="8">
        <v>24</v>
      </c>
    </row>
    <row r="24" spans="1:14" s="12" customFormat="1" ht="24.75" customHeight="1" x14ac:dyDescent="0.3">
      <c r="A24" s="8">
        <v>25</v>
      </c>
      <c r="B24" s="8">
        <v>19</v>
      </c>
      <c r="C24" s="5" t="s">
        <v>28</v>
      </c>
      <c r="D24" s="6" t="s">
        <v>9</v>
      </c>
      <c r="E24" s="7">
        <v>0.49444444444444446</v>
      </c>
      <c r="F24" s="8">
        <v>50</v>
      </c>
      <c r="G24" s="8">
        <v>25</v>
      </c>
      <c r="H24" s="9">
        <f>(98+105+104.75+112.94+117.58+106.06)/6</f>
        <v>107.38833333333332</v>
      </c>
      <c r="I24" s="10" t="s">
        <v>152</v>
      </c>
      <c r="J24" s="32"/>
      <c r="N24" s="8">
        <v>25</v>
      </c>
    </row>
    <row r="25" spans="1:14" s="12" customFormat="1" ht="24.75" customHeight="1" x14ac:dyDescent="0.3">
      <c r="A25" s="8">
        <v>26</v>
      </c>
      <c r="B25" s="8">
        <v>20</v>
      </c>
      <c r="C25" s="5" t="s">
        <v>35</v>
      </c>
      <c r="D25" s="6" t="s">
        <v>10</v>
      </c>
      <c r="E25" s="7">
        <v>0.51041666666666663</v>
      </c>
      <c r="F25" s="8">
        <v>50</v>
      </c>
      <c r="G25" s="8">
        <v>26</v>
      </c>
      <c r="H25" s="9">
        <f>(99.38+98.81+94.98+100.2+96+93)/6</f>
        <v>97.061666666666667</v>
      </c>
      <c r="I25" s="10"/>
      <c r="J25" s="32"/>
      <c r="N25" s="8">
        <v>26</v>
      </c>
    </row>
    <row r="26" spans="1:14" s="12" customFormat="1" ht="24.75" customHeight="1" x14ac:dyDescent="0.3">
      <c r="A26" s="8">
        <v>28</v>
      </c>
      <c r="B26" s="8">
        <v>21</v>
      </c>
      <c r="C26" s="8" t="s">
        <v>38</v>
      </c>
      <c r="D26" s="13">
        <v>44104</v>
      </c>
      <c r="E26" s="14">
        <v>0.62986111111111109</v>
      </c>
      <c r="F26" s="8">
        <v>50</v>
      </c>
      <c r="G26" s="8">
        <v>28</v>
      </c>
      <c r="H26" s="9">
        <f>(108+116+95.73+109.67+102.98+111.16)/6</f>
        <v>107.25666666666666</v>
      </c>
      <c r="I26" s="10"/>
      <c r="J26" s="33"/>
      <c r="N26" s="8">
        <v>28</v>
      </c>
    </row>
    <row r="27" spans="1:14" s="12" customFormat="1" ht="24.75" customHeight="1" x14ac:dyDescent="0.3">
      <c r="A27" s="5">
        <v>6</v>
      </c>
      <c r="B27" s="8">
        <v>1</v>
      </c>
      <c r="C27" s="8" t="s">
        <v>65</v>
      </c>
      <c r="D27" s="13">
        <v>44116</v>
      </c>
      <c r="E27" s="14">
        <v>0.44513888888888892</v>
      </c>
      <c r="F27" s="8">
        <v>75</v>
      </c>
      <c r="G27" s="8">
        <v>6</v>
      </c>
      <c r="H27" s="9">
        <f>(99+95+92+94.28+95.71+95.26)/6</f>
        <v>95.208333333333329</v>
      </c>
      <c r="I27" s="10"/>
      <c r="J27" s="31" t="s">
        <v>169</v>
      </c>
      <c r="K27" s="11"/>
      <c r="N27" s="8">
        <v>6</v>
      </c>
    </row>
    <row r="28" spans="1:14" s="12" customFormat="1" ht="24.75" customHeight="1" x14ac:dyDescent="0.3">
      <c r="A28" s="5">
        <v>7</v>
      </c>
      <c r="B28" s="8">
        <v>2</v>
      </c>
      <c r="C28" s="8" t="s">
        <v>66</v>
      </c>
      <c r="D28" s="13">
        <v>44116</v>
      </c>
      <c r="E28" s="14">
        <v>0.46458333333333335</v>
      </c>
      <c r="F28" s="8">
        <v>75</v>
      </c>
      <c r="G28" s="8">
        <v>7</v>
      </c>
      <c r="H28" s="9">
        <f>(107.24+109.96+92.43+89+83+91)/6</f>
        <v>95.438333333333333</v>
      </c>
      <c r="I28" s="10"/>
      <c r="J28" s="32"/>
      <c r="K28" s="11"/>
      <c r="N28" s="8">
        <v>7</v>
      </c>
    </row>
    <row r="29" spans="1:14" s="12" customFormat="1" ht="24.75" customHeight="1" x14ac:dyDescent="0.3">
      <c r="A29" s="5">
        <v>9</v>
      </c>
      <c r="B29" s="8">
        <v>3</v>
      </c>
      <c r="C29" s="8" t="s">
        <v>97</v>
      </c>
      <c r="D29" s="13">
        <v>44118</v>
      </c>
      <c r="E29" s="14">
        <v>0.59722222222222221</v>
      </c>
      <c r="F29" s="8">
        <v>75</v>
      </c>
      <c r="G29" s="8">
        <v>9</v>
      </c>
      <c r="H29" s="9">
        <f>(97+97.02+94.01+100.98+95+88)/6</f>
        <v>95.334999999999994</v>
      </c>
      <c r="I29" s="10"/>
      <c r="J29" s="32"/>
      <c r="K29" s="11"/>
      <c r="N29" s="8">
        <v>9</v>
      </c>
    </row>
    <row r="30" spans="1:14" s="12" customFormat="1" ht="24.75" customHeight="1" x14ac:dyDescent="0.3">
      <c r="A30" s="5">
        <v>10</v>
      </c>
      <c r="B30" s="8">
        <v>4</v>
      </c>
      <c r="C30" s="8" t="s">
        <v>116</v>
      </c>
      <c r="D30" s="13">
        <v>44118</v>
      </c>
      <c r="E30" s="14">
        <v>0.73958333333333337</v>
      </c>
      <c r="F30" s="8">
        <v>75</v>
      </c>
      <c r="G30" s="8">
        <v>10</v>
      </c>
      <c r="H30" s="9">
        <f>(104.13+95.09+102.09+97.54+88+90)/6</f>
        <v>96.141666666666666</v>
      </c>
      <c r="I30" s="16"/>
      <c r="J30" s="32"/>
      <c r="K30" s="11"/>
      <c r="N30" s="8">
        <v>10</v>
      </c>
    </row>
    <row r="31" spans="1:14" s="12" customFormat="1" ht="24.75" customHeight="1" x14ac:dyDescent="0.3">
      <c r="A31" s="5">
        <v>13</v>
      </c>
      <c r="B31" s="8">
        <v>5</v>
      </c>
      <c r="C31" s="5" t="s">
        <v>32</v>
      </c>
      <c r="D31" s="6" t="s">
        <v>9</v>
      </c>
      <c r="E31" s="7">
        <v>0.4826388888888889</v>
      </c>
      <c r="F31" s="8">
        <v>70</v>
      </c>
      <c r="G31" s="8">
        <v>13</v>
      </c>
      <c r="H31" s="9">
        <f>(89+89+98.3+86.96+94.7+98)/6</f>
        <v>92.660000000000011</v>
      </c>
      <c r="I31" s="10"/>
      <c r="J31" s="32"/>
      <c r="K31" s="11"/>
      <c r="N31" s="8">
        <v>13</v>
      </c>
    </row>
    <row r="32" spans="1:14" s="12" customFormat="1" ht="24.75" customHeight="1" x14ac:dyDescent="0.3">
      <c r="A32" s="5">
        <v>16</v>
      </c>
      <c r="B32" s="8">
        <v>6</v>
      </c>
      <c r="C32" s="8" t="s">
        <v>43</v>
      </c>
      <c r="D32" s="13">
        <v>44105</v>
      </c>
      <c r="E32" s="14">
        <v>0.4236111111111111</v>
      </c>
      <c r="F32" s="8">
        <v>70</v>
      </c>
      <c r="G32" s="8">
        <v>16</v>
      </c>
      <c r="H32" s="9">
        <f>(105.5+89+97+97+86+79+114.48+89.3)/8</f>
        <v>94.66</v>
      </c>
      <c r="I32" s="10" t="s">
        <v>161</v>
      </c>
      <c r="J32" s="32"/>
      <c r="K32" s="11"/>
      <c r="N32" s="8">
        <v>16</v>
      </c>
    </row>
    <row r="33" spans="1:14" s="12" customFormat="1" ht="24.75" customHeight="1" x14ac:dyDescent="0.3">
      <c r="A33" s="8">
        <v>27</v>
      </c>
      <c r="B33" s="8">
        <v>7</v>
      </c>
      <c r="C33" s="8" t="s">
        <v>49</v>
      </c>
      <c r="D33" s="13">
        <v>44106</v>
      </c>
      <c r="E33" s="14">
        <v>0.6</v>
      </c>
      <c r="F33" s="8">
        <v>50</v>
      </c>
      <c r="G33" s="8">
        <v>29</v>
      </c>
      <c r="H33" s="9">
        <f>(90+97+96.04+99.83+96.25+96.01)/6</f>
        <v>95.855000000000004</v>
      </c>
      <c r="I33" s="10"/>
      <c r="J33" s="32"/>
      <c r="N33" s="8">
        <v>27</v>
      </c>
    </row>
    <row r="34" spans="1:14" s="12" customFormat="1" ht="24.75" customHeight="1" x14ac:dyDescent="0.3">
      <c r="A34" s="8">
        <v>29</v>
      </c>
      <c r="B34" s="8">
        <v>8</v>
      </c>
      <c r="C34" s="8" t="s">
        <v>50</v>
      </c>
      <c r="D34" s="13">
        <v>44109</v>
      </c>
      <c r="E34" s="14">
        <v>0.45763888888888887</v>
      </c>
      <c r="F34" s="8">
        <v>50</v>
      </c>
      <c r="G34" s="8">
        <v>30</v>
      </c>
      <c r="H34" s="9">
        <f>(105+100+92+95.09+101.56+102.74)/6</f>
        <v>99.398333333333326</v>
      </c>
      <c r="I34" s="10"/>
      <c r="J34" s="32"/>
      <c r="N34" s="8">
        <v>29</v>
      </c>
    </row>
    <row r="35" spans="1:14" s="12" customFormat="1" ht="24.75" customHeight="1" x14ac:dyDescent="0.3">
      <c r="A35" s="8">
        <v>30</v>
      </c>
      <c r="B35" s="8">
        <v>9</v>
      </c>
      <c r="C35" s="8" t="s">
        <v>52</v>
      </c>
      <c r="D35" s="13">
        <v>44109</v>
      </c>
      <c r="E35" s="14">
        <v>0.46527777777777773</v>
      </c>
      <c r="F35" s="8">
        <v>50</v>
      </c>
      <c r="G35" s="8">
        <v>31</v>
      </c>
      <c r="H35" s="9">
        <f>(105.66+101.15+85.32+106+102+104)/6</f>
        <v>100.68833333333333</v>
      </c>
      <c r="I35" s="10"/>
      <c r="J35" s="32"/>
      <c r="N35" s="8">
        <v>30</v>
      </c>
    </row>
    <row r="36" spans="1:14" s="12" customFormat="1" ht="24.75" customHeight="1" x14ac:dyDescent="0.3">
      <c r="A36" s="8">
        <v>31</v>
      </c>
      <c r="B36" s="8">
        <v>10</v>
      </c>
      <c r="C36" s="8" t="s">
        <v>53</v>
      </c>
      <c r="D36" s="13">
        <v>44109</v>
      </c>
      <c r="E36" s="14">
        <v>0.46736111111111112</v>
      </c>
      <c r="F36" s="8">
        <v>50</v>
      </c>
      <c r="G36" s="8">
        <v>32</v>
      </c>
      <c r="H36" s="9">
        <f>(105.51+96.32+94.57+89+99+99)/6</f>
        <v>97.233333333333334</v>
      </c>
      <c r="I36" s="10"/>
      <c r="J36" s="32"/>
      <c r="N36" s="8">
        <v>31</v>
      </c>
    </row>
    <row r="37" spans="1:14" s="12" customFormat="1" ht="24.75" customHeight="1" x14ac:dyDescent="0.3">
      <c r="A37" s="8">
        <v>32</v>
      </c>
      <c r="B37" s="8">
        <v>11</v>
      </c>
      <c r="C37" s="15" t="s">
        <v>58</v>
      </c>
      <c r="D37" s="13">
        <v>44111</v>
      </c>
      <c r="E37" s="14">
        <v>0.70833333333333337</v>
      </c>
      <c r="F37" s="8">
        <v>50</v>
      </c>
      <c r="G37" s="8">
        <v>33</v>
      </c>
      <c r="H37" s="9">
        <f>(100+176+189+128.3+153.62+141.5)/6</f>
        <v>148.07</v>
      </c>
      <c r="I37" s="10"/>
      <c r="J37" s="32"/>
      <c r="N37" s="8">
        <v>32</v>
      </c>
    </row>
    <row r="38" spans="1:14" s="12" customFormat="1" ht="24.75" customHeight="1" x14ac:dyDescent="0.3">
      <c r="A38" s="8">
        <v>33</v>
      </c>
      <c r="B38" s="8">
        <v>12</v>
      </c>
      <c r="C38" s="8" t="s">
        <v>62</v>
      </c>
      <c r="D38" s="13">
        <v>44113</v>
      </c>
      <c r="E38" s="14">
        <v>0.4458333333333333</v>
      </c>
      <c r="F38" s="8">
        <v>50</v>
      </c>
      <c r="G38" s="8">
        <v>34</v>
      </c>
      <c r="H38" s="9">
        <f>(90+80+101.3+119.18+103.55+88.7)/6</f>
        <v>97.12166666666667</v>
      </c>
      <c r="I38" s="10"/>
      <c r="J38" s="32"/>
      <c r="N38" s="8">
        <v>33</v>
      </c>
    </row>
    <row r="39" spans="1:14" s="12" customFormat="1" ht="24.75" customHeight="1" x14ac:dyDescent="0.3">
      <c r="A39" s="8">
        <v>34</v>
      </c>
      <c r="B39" s="8">
        <v>13</v>
      </c>
      <c r="C39" s="8" t="s">
        <v>73</v>
      </c>
      <c r="D39" s="13">
        <v>44116</v>
      </c>
      <c r="E39" s="14">
        <v>0.64374999999999993</v>
      </c>
      <c r="F39" s="8">
        <v>50</v>
      </c>
      <c r="G39" s="8">
        <v>35</v>
      </c>
      <c r="H39" s="9">
        <f>(121.39+99.18+116.51+93+91+93.6)/6</f>
        <v>102.44666666666666</v>
      </c>
      <c r="I39" s="10" t="s">
        <v>21</v>
      </c>
      <c r="J39" s="32"/>
      <c r="N39" s="8">
        <v>34</v>
      </c>
    </row>
    <row r="40" spans="1:14" s="12" customFormat="1" ht="24.75" customHeight="1" x14ac:dyDescent="0.3">
      <c r="A40" s="8">
        <v>35</v>
      </c>
      <c r="B40" s="8">
        <v>14</v>
      </c>
      <c r="C40" s="8" t="s">
        <v>76</v>
      </c>
      <c r="D40" s="13">
        <v>44117</v>
      </c>
      <c r="E40" s="14">
        <v>0.46527777777777773</v>
      </c>
      <c r="F40" s="8">
        <v>50</v>
      </c>
      <c r="G40" s="8">
        <v>36</v>
      </c>
      <c r="H40" s="9">
        <f>(98.49+84+89+98.7+102.36+103.6)/6</f>
        <v>96.024999999999991</v>
      </c>
      <c r="I40" s="10"/>
      <c r="J40" s="32"/>
      <c r="N40" s="8">
        <v>35</v>
      </c>
    </row>
    <row r="41" spans="1:14" s="12" customFormat="1" ht="24.75" customHeight="1" x14ac:dyDescent="0.3">
      <c r="A41" s="8">
        <v>36</v>
      </c>
      <c r="B41" s="8">
        <v>15</v>
      </c>
      <c r="C41" s="8" t="s">
        <v>80</v>
      </c>
      <c r="D41" s="13">
        <v>44117</v>
      </c>
      <c r="E41" s="14">
        <v>0.4916666666666667</v>
      </c>
      <c r="F41" s="8">
        <v>50</v>
      </c>
      <c r="G41" s="8">
        <v>37</v>
      </c>
      <c r="H41" s="9">
        <f>(90+92+99.85+108.7+107.13+104.47)/6</f>
        <v>100.35833333333333</v>
      </c>
      <c r="I41" s="10"/>
      <c r="J41" s="32"/>
      <c r="N41" s="8">
        <v>36</v>
      </c>
    </row>
    <row r="42" spans="1:14" s="12" customFormat="1" ht="24.75" customHeight="1" x14ac:dyDescent="0.3">
      <c r="A42" s="8">
        <v>37</v>
      </c>
      <c r="B42" s="8">
        <v>16</v>
      </c>
      <c r="C42" s="8" t="s">
        <v>163</v>
      </c>
      <c r="D42" s="13">
        <v>44117</v>
      </c>
      <c r="E42" s="14">
        <v>0.49791666666666662</v>
      </c>
      <c r="F42" s="8">
        <v>50</v>
      </c>
      <c r="G42" s="8">
        <v>38</v>
      </c>
      <c r="H42" s="9">
        <f>(125+114.72+154.38+90.38+90+91)/6</f>
        <v>110.91333333333334</v>
      </c>
      <c r="I42" s="10"/>
      <c r="J42" s="32"/>
      <c r="N42" s="8">
        <v>37</v>
      </c>
    </row>
    <row r="43" spans="1:14" s="12" customFormat="1" ht="24.75" customHeight="1" x14ac:dyDescent="0.3">
      <c r="A43" s="8">
        <v>38</v>
      </c>
      <c r="B43" s="8">
        <v>17</v>
      </c>
      <c r="C43" s="8" t="s">
        <v>89</v>
      </c>
      <c r="D43" s="13">
        <v>44117</v>
      </c>
      <c r="E43" s="14">
        <v>0.66666666666666663</v>
      </c>
      <c r="F43" s="8">
        <v>50</v>
      </c>
      <c r="G43" s="8">
        <v>40</v>
      </c>
      <c r="H43" s="9">
        <f>(98+131.56+168.61+92.21+159+137)/6</f>
        <v>131.06333333333333</v>
      </c>
      <c r="I43" s="17" t="s">
        <v>16</v>
      </c>
      <c r="J43" s="32"/>
      <c r="N43" s="8">
        <v>38</v>
      </c>
    </row>
    <row r="44" spans="1:14" s="12" customFormat="1" ht="33.75" customHeight="1" x14ac:dyDescent="0.3">
      <c r="A44" s="8">
        <v>39</v>
      </c>
      <c r="B44" s="8">
        <v>18</v>
      </c>
      <c r="C44" s="8" t="s">
        <v>90</v>
      </c>
      <c r="D44" s="13">
        <v>44117</v>
      </c>
      <c r="E44" s="14">
        <v>0.67361111111111116</v>
      </c>
      <c r="F44" s="8">
        <v>50</v>
      </c>
      <c r="G44" s="8">
        <v>41</v>
      </c>
      <c r="H44" s="9">
        <f>(94.7+95.41+129.19+80+67+154)/6</f>
        <v>103.38333333333333</v>
      </c>
      <c r="I44" s="17" t="s">
        <v>16</v>
      </c>
      <c r="J44" s="32"/>
      <c r="N44" s="8">
        <v>39</v>
      </c>
    </row>
    <row r="45" spans="1:14" s="12" customFormat="1" ht="33.75" customHeight="1" x14ac:dyDescent="0.3">
      <c r="A45" s="8">
        <v>40</v>
      </c>
      <c r="B45" s="8">
        <v>19</v>
      </c>
      <c r="C45" s="8" t="s">
        <v>91</v>
      </c>
      <c r="D45" s="13">
        <v>44117</v>
      </c>
      <c r="E45" s="14">
        <v>0.68055555555555547</v>
      </c>
      <c r="F45" s="8">
        <v>50</v>
      </c>
      <c r="G45" s="8">
        <v>42</v>
      </c>
      <c r="H45" s="9">
        <f>(106.82+121.19+100.51+130+93+113)/6</f>
        <v>110.75333333333333</v>
      </c>
      <c r="I45" s="17" t="s">
        <v>16</v>
      </c>
      <c r="J45" s="32"/>
      <c r="N45" s="8">
        <v>40</v>
      </c>
    </row>
    <row r="46" spans="1:14" s="12" customFormat="1" ht="32.25" customHeight="1" x14ac:dyDescent="0.3">
      <c r="A46" s="8">
        <v>41</v>
      </c>
      <c r="B46" s="8">
        <v>20</v>
      </c>
      <c r="C46" s="8" t="s">
        <v>92</v>
      </c>
      <c r="D46" s="13">
        <v>44117</v>
      </c>
      <c r="E46" s="14">
        <v>0.68680555555555556</v>
      </c>
      <c r="F46" s="8">
        <v>50</v>
      </c>
      <c r="G46" s="8">
        <v>43</v>
      </c>
      <c r="H46" s="9">
        <f>(107+106.64+114.59+95.54+96+112)/6</f>
        <v>105.295</v>
      </c>
      <c r="I46" s="17" t="s">
        <v>16</v>
      </c>
      <c r="J46" s="32"/>
      <c r="N46" s="8">
        <v>41</v>
      </c>
    </row>
    <row r="47" spans="1:14" s="12" customFormat="1" ht="32.25" customHeight="1" x14ac:dyDescent="0.3">
      <c r="A47" s="8">
        <v>42</v>
      </c>
      <c r="B47" s="8">
        <v>21</v>
      </c>
      <c r="C47" s="8" t="s">
        <v>93</v>
      </c>
      <c r="D47" s="13">
        <v>44117</v>
      </c>
      <c r="E47" s="14">
        <v>0.69097222222222221</v>
      </c>
      <c r="F47" s="8">
        <v>50</v>
      </c>
      <c r="G47" s="8">
        <v>44</v>
      </c>
      <c r="H47" s="9">
        <f>(82.56+139.17+72.75+50+23+218)/6</f>
        <v>97.58</v>
      </c>
      <c r="I47" s="17" t="s">
        <v>16</v>
      </c>
      <c r="J47" s="32"/>
      <c r="N47" s="8">
        <v>42</v>
      </c>
    </row>
    <row r="48" spans="1:14" s="12" customFormat="1" ht="30" customHeight="1" x14ac:dyDescent="0.3">
      <c r="A48" s="8">
        <v>43</v>
      </c>
      <c r="B48" s="8">
        <v>22</v>
      </c>
      <c r="C48" s="8" t="s">
        <v>102</v>
      </c>
      <c r="D48" s="13">
        <v>44118</v>
      </c>
      <c r="E48" s="14">
        <v>0.65972222222222221</v>
      </c>
      <c r="F48" s="8">
        <v>50</v>
      </c>
      <c r="G48" s="8">
        <v>46</v>
      </c>
      <c r="H48" s="9">
        <f>(105.6+103.81+92.06+98+100+95.55)/6</f>
        <v>99.17</v>
      </c>
      <c r="I48" s="10"/>
      <c r="J48" s="32"/>
      <c r="N48" s="8">
        <v>43</v>
      </c>
    </row>
    <row r="49" spans="1:14" s="12" customFormat="1" ht="32.25" customHeight="1" x14ac:dyDescent="0.3">
      <c r="A49" s="8">
        <v>44</v>
      </c>
      <c r="B49" s="8">
        <v>23</v>
      </c>
      <c r="C49" s="15" t="s">
        <v>128</v>
      </c>
      <c r="D49" s="13">
        <v>44119</v>
      </c>
      <c r="E49" s="14">
        <v>0.63888888888888895</v>
      </c>
      <c r="F49" s="8">
        <v>50</v>
      </c>
      <c r="G49" s="8">
        <v>55</v>
      </c>
      <c r="H49" s="9">
        <f>(105+97+97.88+94.47+89.78+101.6)/6</f>
        <v>97.62166666666667</v>
      </c>
      <c r="I49" s="10"/>
      <c r="J49" s="32"/>
      <c r="N49" s="8">
        <v>44</v>
      </c>
    </row>
    <row r="50" spans="1:14" s="12" customFormat="1" ht="33.75" customHeight="1" x14ac:dyDescent="0.3">
      <c r="A50" s="8">
        <v>45</v>
      </c>
      <c r="B50" s="8">
        <v>24</v>
      </c>
      <c r="C50" s="8" t="s">
        <v>131</v>
      </c>
      <c r="D50" s="13">
        <v>44119</v>
      </c>
      <c r="E50" s="14">
        <v>0.66666666666666663</v>
      </c>
      <c r="F50" s="8">
        <v>50</v>
      </c>
      <c r="G50" s="8">
        <v>56</v>
      </c>
      <c r="H50" s="9">
        <f>(92+84+93.78+101.14+107.98+97.87)/6</f>
        <v>96.12833333333333</v>
      </c>
      <c r="I50" s="10"/>
      <c r="J50" s="32"/>
      <c r="N50" s="8">
        <v>45</v>
      </c>
    </row>
    <row r="51" spans="1:14" s="12" customFormat="1" ht="24.75" customHeight="1" x14ac:dyDescent="0.3">
      <c r="A51" s="8">
        <v>46</v>
      </c>
      <c r="B51" s="8">
        <v>25</v>
      </c>
      <c r="C51" s="5" t="s">
        <v>168</v>
      </c>
      <c r="D51" s="6" t="s">
        <v>4</v>
      </c>
      <c r="E51" s="7">
        <v>0.67361111111111116</v>
      </c>
      <c r="F51" s="8">
        <v>45</v>
      </c>
      <c r="G51" s="8">
        <v>60</v>
      </c>
      <c r="H51" s="9">
        <f>(94.76+110.01+69.04+96+70+70)/6</f>
        <v>84.968333333333334</v>
      </c>
      <c r="I51" s="10"/>
      <c r="J51" s="33"/>
      <c r="N51" s="8">
        <v>46</v>
      </c>
    </row>
    <row r="52" spans="1:14" s="12" customFormat="1" ht="37.5" customHeight="1" x14ac:dyDescent="0.3">
      <c r="A52" s="8">
        <v>47</v>
      </c>
      <c r="B52" s="8">
        <v>1</v>
      </c>
      <c r="C52" s="28" t="s">
        <v>37</v>
      </c>
      <c r="D52" s="20">
        <v>44104</v>
      </c>
      <c r="E52" s="21">
        <v>0.62152777777777779</v>
      </c>
      <c r="F52" s="15">
        <v>50</v>
      </c>
      <c r="G52" s="8">
        <v>27</v>
      </c>
      <c r="H52" s="9">
        <f>(100+100+96.87+95.33+97.14+89.89)/6</f>
        <v>96.538333333333341</v>
      </c>
      <c r="I52" s="10"/>
      <c r="J52" s="27">
        <v>1</v>
      </c>
      <c r="N52" s="8">
        <v>47</v>
      </c>
    </row>
    <row r="53" spans="1:14" s="12" customFormat="1" ht="37.5" customHeight="1" x14ac:dyDescent="0.3">
      <c r="A53" s="8">
        <v>48</v>
      </c>
      <c r="B53" s="8">
        <v>2</v>
      </c>
      <c r="C53" s="8" t="s">
        <v>86</v>
      </c>
      <c r="D53" s="13">
        <v>44117</v>
      </c>
      <c r="E53" s="14">
        <v>0.52777777777777779</v>
      </c>
      <c r="F53" s="8">
        <v>50</v>
      </c>
      <c r="G53" s="8">
        <v>39</v>
      </c>
      <c r="H53" s="9">
        <f>(95+96+96.33+98.06+96.88+97.64)/6</f>
        <v>96.651666666666657</v>
      </c>
      <c r="I53" s="17" t="s">
        <v>16</v>
      </c>
      <c r="J53" s="27">
        <v>2</v>
      </c>
      <c r="N53" s="8">
        <v>48</v>
      </c>
    </row>
    <row r="54" spans="1:14" s="12" customFormat="1" ht="37.5" customHeight="1" x14ac:dyDescent="0.3">
      <c r="A54" s="8">
        <v>49</v>
      </c>
      <c r="B54" s="8">
        <v>3</v>
      </c>
      <c r="C54" s="15" t="s">
        <v>170</v>
      </c>
      <c r="D54" s="20">
        <v>44118</v>
      </c>
      <c r="E54" s="21">
        <v>0.59166666666666667</v>
      </c>
      <c r="F54" s="15">
        <v>50</v>
      </c>
      <c r="G54" s="8">
        <v>45</v>
      </c>
      <c r="H54" s="22">
        <f>(87.1+103+100+101.68+96.87+95.01)/6</f>
        <v>97.276666666666685</v>
      </c>
      <c r="I54" s="17" t="s">
        <v>16</v>
      </c>
      <c r="J54" s="27">
        <v>3</v>
      </c>
      <c r="N54" s="8">
        <v>49</v>
      </c>
    </row>
    <row r="55" spans="1:14" s="12" customFormat="1" ht="37.5" customHeight="1" x14ac:dyDescent="0.3">
      <c r="A55" s="8">
        <v>50</v>
      </c>
      <c r="B55" s="8">
        <v>4</v>
      </c>
      <c r="C55" s="5" t="s">
        <v>172</v>
      </c>
      <c r="D55" s="13">
        <v>44118</v>
      </c>
      <c r="E55" s="14">
        <v>0.6875</v>
      </c>
      <c r="F55" s="8">
        <v>50</v>
      </c>
      <c r="G55" s="8">
        <v>47</v>
      </c>
      <c r="H55" s="9">
        <f>(121+71+53+103.64+112.46+112.11)/6</f>
        <v>95.534999999999982</v>
      </c>
      <c r="I55" s="10"/>
      <c r="J55" s="27">
        <v>4</v>
      </c>
      <c r="N55" s="8">
        <v>50</v>
      </c>
    </row>
    <row r="56" spans="1:14" s="12" customFormat="1" ht="37.5" customHeight="1" x14ac:dyDescent="0.3">
      <c r="A56" s="8">
        <v>51</v>
      </c>
      <c r="B56" s="8">
        <v>5</v>
      </c>
      <c r="C56" s="5" t="s">
        <v>182</v>
      </c>
      <c r="D56" s="13">
        <v>44118</v>
      </c>
      <c r="E56" s="14">
        <v>0.69097222222222221</v>
      </c>
      <c r="F56" s="8">
        <v>50</v>
      </c>
      <c r="G56" s="8">
        <v>48</v>
      </c>
      <c r="H56" s="9">
        <f>(93+112+106+103.11+109.09+83.68)/6</f>
        <v>101.14666666666669</v>
      </c>
      <c r="I56" s="10" t="s">
        <v>20</v>
      </c>
      <c r="J56" s="27">
        <v>5</v>
      </c>
      <c r="N56" s="8">
        <v>51</v>
      </c>
    </row>
    <row r="57" spans="1:14" s="12" customFormat="1" ht="36.75" customHeight="1" x14ac:dyDescent="0.3">
      <c r="A57" s="8">
        <v>52</v>
      </c>
      <c r="B57" s="8">
        <v>6</v>
      </c>
      <c r="C57" s="5" t="s">
        <v>173</v>
      </c>
      <c r="D57" s="13">
        <v>44118</v>
      </c>
      <c r="E57" s="14">
        <v>0.70138888888888884</v>
      </c>
      <c r="F57" s="8">
        <v>50</v>
      </c>
      <c r="G57" s="8">
        <v>49</v>
      </c>
      <c r="H57" s="9">
        <f>(136+111+75+97.63+84.46+186.86)/6</f>
        <v>115.15833333333335</v>
      </c>
      <c r="I57" s="10"/>
      <c r="J57" s="27">
        <v>6</v>
      </c>
      <c r="N57" s="8">
        <v>52</v>
      </c>
    </row>
    <row r="58" spans="1:14" s="12" customFormat="1" ht="36.75" customHeight="1" x14ac:dyDescent="0.3">
      <c r="A58" s="8">
        <v>53</v>
      </c>
      <c r="B58" s="8">
        <v>7</v>
      </c>
      <c r="C58" s="5" t="s">
        <v>174</v>
      </c>
      <c r="D58" s="13">
        <v>44118</v>
      </c>
      <c r="E58" s="14">
        <v>0.70972222222222225</v>
      </c>
      <c r="F58" s="8">
        <v>50</v>
      </c>
      <c r="G58" s="8">
        <v>50</v>
      </c>
      <c r="H58" s="9">
        <f>(93+77+58+91.71+113.12+142.13)/6</f>
        <v>95.826666666666668</v>
      </c>
      <c r="I58" s="10"/>
      <c r="J58" s="27">
        <v>7</v>
      </c>
      <c r="N58" s="8">
        <v>53</v>
      </c>
    </row>
    <row r="59" spans="1:14" s="12" customFormat="1" ht="38.25" customHeight="1" x14ac:dyDescent="0.3">
      <c r="A59" s="8">
        <v>54</v>
      </c>
      <c r="B59" s="8">
        <v>8</v>
      </c>
      <c r="C59" s="5" t="s">
        <v>175</v>
      </c>
      <c r="D59" s="13">
        <v>44118</v>
      </c>
      <c r="E59" s="14">
        <v>0.71180555555555547</v>
      </c>
      <c r="F59" s="8">
        <v>50</v>
      </c>
      <c r="G59" s="8">
        <v>51</v>
      </c>
      <c r="H59" s="9">
        <f>(83+189+213+85.38+202.35+62.16)/6</f>
        <v>139.14833333333334</v>
      </c>
      <c r="I59" s="10" t="s">
        <v>22</v>
      </c>
      <c r="J59" s="27">
        <v>8</v>
      </c>
      <c r="N59" s="8">
        <v>54</v>
      </c>
    </row>
    <row r="60" spans="1:14" s="12" customFormat="1" ht="34.5" customHeight="1" x14ac:dyDescent="0.3">
      <c r="A60" s="8">
        <v>57</v>
      </c>
      <c r="B60" s="8">
        <v>9</v>
      </c>
      <c r="C60" s="15" t="s">
        <v>176</v>
      </c>
      <c r="D60" s="20">
        <v>44119</v>
      </c>
      <c r="E60" s="21">
        <v>0.60277777777777775</v>
      </c>
      <c r="F60" s="15">
        <v>50</v>
      </c>
      <c r="G60" s="8">
        <v>54</v>
      </c>
      <c r="H60" s="9">
        <f>(104+95+96.72+102.12+104.93+96.43)/6</f>
        <v>99.866666666666674</v>
      </c>
      <c r="I60" s="10"/>
      <c r="J60" s="27">
        <v>9</v>
      </c>
      <c r="N60" s="8">
        <v>57</v>
      </c>
    </row>
    <row r="61" spans="1:14" s="12" customFormat="1" ht="34.5" customHeight="1" x14ac:dyDescent="0.3">
      <c r="A61" s="8">
        <v>58</v>
      </c>
      <c r="B61" s="8">
        <v>10</v>
      </c>
      <c r="C61" s="15" t="s">
        <v>140</v>
      </c>
      <c r="D61" s="20">
        <v>44119</v>
      </c>
      <c r="E61" s="21">
        <v>0.68402777777777779</v>
      </c>
      <c r="F61" s="15">
        <v>50</v>
      </c>
      <c r="G61" s="8">
        <v>57</v>
      </c>
      <c r="H61" s="9">
        <f>(98.84+97.63+103.96+85.2+100+99)/6</f>
        <v>97.438333333333333</v>
      </c>
      <c r="I61" s="10"/>
      <c r="J61" s="27">
        <v>10</v>
      </c>
      <c r="N61" s="8">
        <v>58</v>
      </c>
    </row>
    <row r="62" spans="1:14" s="12" customFormat="1" ht="34.5" customHeight="1" x14ac:dyDescent="0.3">
      <c r="A62" s="8">
        <v>59</v>
      </c>
      <c r="B62" s="8">
        <v>11</v>
      </c>
      <c r="C62" s="8" t="s">
        <v>145</v>
      </c>
      <c r="D62" s="13">
        <v>44119</v>
      </c>
      <c r="E62" s="14">
        <v>0.74097222222222225</v>
      </c>
      <c r="F62" s="8">
        <v>50</v>
      </c>
      <c r="G62" s="8">
        <v>58</v>
      </c>
      <c r="H62" s="9">
        <f>(94+100+109+98.6+92.61+99.03)/6</f>
        <v>98.873333333333335</v>
      </c>
      <c r="I62" s="10"/>
      <c r="J62" s="27">
        <v>11</v>
      </c>
      <c r="N62" s="8">
        <v>59</v>
      </c>
    </row>
    <row r="63" spans="1:14" s="12" customFormat="1" ht="34.5" customHeight="1" x14ac:dyDescent="0.3">
      <c r="A63" s="8">
        <v>60</v>
      </c>
      <c r="B63" s="8">
        <v>12</v>
      </c>
      <c r="C63" s="28" t="s">
        <v>23</v>
      </c>
      <c r="D63" s="29" t="s">
        <v>3</v>
      </c>
      <c r="E63" s="30">
        <v>0.71666666666666667</v>
      </c>
      <c r="F63" s="15">
        <v>45</v>
      </c>
      <c r="G63" s="8">
        <v>59</v>
      </c>
      <c r="H63" s="16">
        <f>(86+86+95.49+95.95+95.74+99)/6</f>
        <v>93.030000000000015</v>
      </c>
      <c r="I63" s="10"/>
      <c r="J63" s="27">
        <v>12</v>
      </c>
      <c r="N63" s="8">
        <v>60</v>
      </c>
    </row>
    <row r="64" spans="1:14" s="12" customFormat="1" ht="34.5" customHeight="1" x14ac:dyDescent="0.3">
      <c r="A64" s="8">
        <v>61</v>
      </c>
      <c r="B64" s="8">
        <v>13</v>
      </c>
      <c r="C64" s="5" t="s">
        <v>24</v>
      </c>
      <c r="D64" s="6" t="s">
        <v>5</v>
      </c>
      <c r="E64" s="7">
        <v>0.49027777777777781</v>
      </c>
      <c r="F64" s="8">
        <v>45</v>
      </c>
      <c r="G64" s="8">
        <v>61</v>
      </c>
      <c r="H64" s="9">
        <f>(85+83+92.25+95.91+104.43+97.26)/6</f>
        <v>92.975000000000009</v>
      </c>
      <c r="I64" s="10"/>
      <c r="J64" s="27">
        <v>13</v>
      </c>
      <c r="N64" s="8">
        <v>61</v>
      </c>
    </row>
    <row r="65" spans="1:14" s="12" customFormat="1" ht="41.25" customHeight="1" x14ac:dyDescent="0.3">
      <c r="A65" s="8">
        <v>62</v>
      </c>
      <c r="B65" s="8">
        <v>14</v>
      </c>
      <c r="C65" s="5" t="s">
        <v>171</v>
      </c>
      <c r="D65" s="6" t="s">
        <v>6</v>
      </c>
      <c r="E65" s="7">
        <v>0.64722222222222225</v>
      </c>
      <c r="F65" s="8">
        <v>45</v>
      </c>
      <c r="G65" s="8">
        <v>62</v>
      </c>
      <c r="H65" s="9">
        <f>(49+67+88.45+97.37+91.49+98.01)/6</f>
        <v>81.88666666666667</v>
      </c>
      <c r="I65" s="10"/>
      <c r="J65" s="27">
        <v>14</v>
      </c>
      <c r="N65" s="8">
        <v>62</v>
      </c>
    </row>
    <row r="66" spans="1:14" s="12" customFormat="1" ht="41.25" customHeight="1" x14ac:dyDescent="0.3">
      <c r="A66" s="8">
        <v>63</v>
      </c>
      <c r="B66" s="8">
        <v>15</v>
      </c>
      <c r="C66" s="5" t="s">
        <v>30</v>
      </c>
      <c r="D66" s="6" t="s">
        <v>7</v>
      </c>
      <c r="E66" s="7">
        <v>0.67708333333333337</v>
      </c>
      <c r="F66" s="8">
        <v>45</v>
      </c>
      <c r="G66" s="8">
        <v>63</v>
      </c>
      <c r="H66" s="9">
        <f>(69+69+100.2+99.37+95.41+95.94)/6</f>
        <v>88.15333333333335</v>
      </c>
      <c r="I66" s="10"/>
      <c r="J66" s="27">
        <v>15</v>
      </c>
      <c r="N66" s="8">
        <v>63</v>
      </c>
    </row>
    <row r="67" spans="1:14" s="12" customFormat="1" ht="24.75" customHeight="1" x14ac:dyDescent="0.3">
      <c r="A67" s="8">
        <v>64</v>
      </c>
      <c r="B67" s="8">
        <v>16</v>
      </c>
      <c r="C67" s="5" t="s">
        <v>26</v>
      </c>
      <c r="D67" s="6" t="s">
        <v>8</v>
      </c>
      <c r="E67" s="7">
        <v>0.6381944444444444</v>
      </c>
      <c r="F67" s="8">
        <v>45</v>
      </c>
      <c r="G67" s="8">
        <v>64</v>
      </c>
      <c r="H67" s="9">
        <f>(84+84+102.17+86.89+56.52+99.14)/6</f>
        <v>85.453333333333333</v>
      </c>
      <c r="I67" s="10"/>
      <c r="J67" s="27">
        <v>16</v>
      </c>
      <c r="N67" s="8">
        <v>64</v>
      </c>
    </row>
    <row r="68" spans="1:14" s="12" customFormat="1" ht="24.75" customHeight="1" x14ac:dyDescent="0.3">
      <c r="A68" s="8">
        <v>65</v>
      </c>
      <c r="B68" s="8">
        <v>17</v>
      </c>
      <c r="C68" s="5" t="s">
        <v>27</v>
      </c>
      <c r="D68" s="6" t="s">
        <v>9</v>
      </c>
      <c r="E68" s="7">
        <v>0.45277777777777778</v>
      </c>
      <c r="F68" s="8">
        <v>45</v>
      </c>
      <c r="G68" s="8">
        <v>65</v>
      </c>
      <c r="H68" s="9">
        <f>(76+85+97.55+103.88+107.61+96.29)/6</f>
        <v>94.388333333333335</v>
      </c>
      <c r="I68" s="10" t="s">
        <v>155</v>
      </c>
      <c r="J68" s="27">
        <v>17</v>
      </c>
      <c r="N68" s="8">
        <v>65</v>
      </c>
    </row>
    <row r="69" spans="1:14" s="12" customFormat="1" ht="24.75" customHeight="1" x14ac:dyDescent="0.3">
      <c r="A69" s="8">
        <v>66</v>
      </c>
      <c r="B69" s="8">
        <v>18</v>
      </c>
      <c r="C69" s="5" t="s">
        <v>29</v>
      </c>
      <c r="D69" s="6" t="s">
        <v>9</v>
      </c>
      <c r="E69" s="7">
        <v>0.47083333333333338</v>
      </c>
      <c r="F69" s="8">
        <v>45</v>
      </c>
      <c r="G69" s="8">
        <v>66</v>
      </c>
      <c r="H69" s="9">
        <f>(79+89+99.14+86.41+81.68+87.12)/6</f>
        <v>87.058333333333323</v>
      </c>
      <c r="I69" s="10" t="s">
        <v>156</v>
      </c>
      <c r="J69" s="27">
        <v>18</v>
      </c>
      <c r="N69" s="8">
        <v>66</v>
      </c>
    </row>
    <row r="70" spans="1:14" s="12" customFormat="1" ht="24.75" customHeight="1" x14ac:dyDescent="0.3">
      <c r="A70" s="8">
        <v>67</v>
      </c>
      <c r="B70" s="8">
        <v>19</v>
      </c>
      <c r="C70" s="5" t="s">
        <v>31</v>
      </c>
      <c r="D70" s="6" t="s">
        <v>9</v>
      </c>
      <c r="E70" s="7">
        <v>0.4777777777777778</v>
      </c>
      <c r="F70" s="8">
        <v>45</v>
      </c>
      <c r="G70" s="8">
        <v>67</v>
      </c>
      <c r="H70" s="9">
        <f>(94.13+83+89+94.96+81.72+99.85)/6</f>
        <v>90.443333333333328</v>
      </c>
      <c r="I70" s="10" t="s">
        <v>157</v>
      </c>
      <c r="J70" s="27">
        <v>19</v>
      </c>
      <c r="N70" s="8">
        <v>67</v>
      </c>
    </row>
    <row r="71" spans="1:14" s="12" customFormat="1" ht="24.75" customHeight="1" x14ac:dyDescent="0.3">
      <c r="A71" s="8">
        <v>68</v>
      </c>
      <c r="B71" s="8">
        <v>20</v>
      </c>
      <c r="C71" s="5" t="s">
        <v>177</v>
      </c>
      <c r="D71" s="6" t="s">
        <v>9</v>
      </c>
      <c r="E71" s="7">
        <v>0.47986111111111113</v>
      </c>
      <c r="F71" s="8">
        <v>45</v>
      </c>
      <c r="G71" s="8">
        <v>68</v>
      </c>
      <c r="H71" s="9">
        <f>(70+80+102.82+101.2+100.86+89.7)/6</f>
        <v>90.763333333333335</v>
      </c>
      <c r="I71" s="10" t="s">
        <v>157</v>
      </c>
      <c r="J71" s="27">
        <v>20</v>
      </c>
      <c r="N71" s="8">
        <v>68</v>
      </c>
    </row>
    <row r="72" spans="1:14" s="12" customFormat="1" ht="24.75" customHeight="1" x14ac:dyDescent="0.3">
      <c r="A72" s="8">
        <v>69</v>
      </c>
      <c r="B72" s="8">
        <v>21</v>
      </c>
      <c r="C72" s="5" t="s">
        <v>178</v>
      </c>
      <c r="D72" s="6" t="s">
        <v>9</v>
      </c>
      <c r="E72" s="7">
        <v>0.48958333333333331</v>
      </c>
      <c r="F72" s="8">
        <v>45</v>
      </c>
      <c r="G72" s="8">
        <v>69</v>
      </c>
      <c r="H72" s="9">
        <f>(62+74+96.05+97.82+98.16+95.95)/6</f>
        <v>87.33</v>
      </c>
      <c r="I72" s="10" t="s">
        <v>158</v>
      </c>
      <c r="J72" s="27">
        <v>21</v>
      </c>
      <c r="N72" s="8">
        <v>69</v>
      </c>
    </row>
    <row r="73" spans="1:14" s="12" customFormat="1" ht="24.75" customHeight="1" x14ac:dyDescent="0.3">
      <c r="A73" s="8">
        <v>70</v>
      </c>
      <c r="B73" s="8">
        <v>22</v>
      </c>
      <c r="C73" s="5" t="s">
        <v>33</v>
      </c>
      <c r="D73" s="6" t="s">
        <v>9</v>
      </c>
      <c r="E73" s="7">
        <v>0.73125000000000007</v>
      </c>
      <c r="F73" s="8">
        <v>45</v>
      </c>
      <c r="G73" s="8">
        <v>70</v>
      </c>
      <c r="H73" s="9">
        <f>(69+78+88.92+101.08+85.98+86.47)/6</f>
        <v>84.908333333333346</v>
      </c>
      <c r="I73" s="10" t="s">
        <v>159</v>
      </c>
      <c r="J73" s="27">
        <v>22</v>
      </c>
      <c r="N73" s="8">
        <v>70</v>
      </c>
    </row>
    <row r="74" spans="1:14" s="12" customFormat="1" ht="24.75" customHeight="1" x14ac:dyDescent="0.3">
      <c r="A74" s="8">
        <v>71</v>
      </c>
      <c r="B74" s="8">
        <v>23</v>
      </c>
      <c r="C74" s="5" t="s">
        <v>36</v>
      </c>
      <c r="D74" s="13">
        <v>44104</v>
      </c>
      <c r="E74" s="14">
        <v>0.53472222222222221</v>
      </c>
      <c r="F74" s="8">
        <v>45</v>
      </c>
      <c r="G74" s="8">
        <v>71</v>
      </c>
      <c r="H74" s="9">
        <f>(62+81+99.36+99.8+105.48+98.17)/6</f>
        <v>90.968333333333348</v>
      </c>
      <c r="I74" s="10"/>
      <c r="J74" s="27">
        <v>23</v>
      </c>
      <c r="N74" s="8">
        <v>71</v>
      </c>
    </row>
    <row r="75" spans="1:14" s="12" customFormat="1" ht="24.75" customHeight="1" x14ac:dyDescent="0.3">
      <c r="A75" s="8">
        <v>72</v>
      </c>
      <c r="B75" s="8">
        <v>24</v>
      </c>
      <c r="C75" s="8" t="s">
        <v>179</v>
      </c>
      <c r="D75" s="13">
        <v>44105</v>
      </c>
      <c r="E75" s="14">
        <v>0.41666666666666669</v>
      </c>
      <c r="F75" s="8">
        <v>45</v>
      </c>
      <c r="G75" s="8">
        <v>72</v>
      </c>
      <c r="H75" s="9">
        <f>(87.3+111.58+89+80+88.8+111.78+92+85)/8</f>
        <v>93.182500000000005</v>
      </c>
      <c r="I75" s="10"/>
      <c r="J75" s="27">
        <v>24</v>
      </c>
      <c r="N75" s="8">
        <v>72</v>
      </c>
    </row>
    <row r="76" spans="1:14" s="12" customFormat="1" ht="24.75" customHeight="1" x14ac:dyDescent="0.3">
      <c r="A76" s="8">
        <v>73</v>
      </c>
      <c r="B76" s="8">
        <v>25</v>
      </c>
      <c r="C76" s="8" t="s">
        <v>44</v>
      </c>
      <c r="D76" s="13">
        <v>44105</v>
      </c>
      <c r="E76" s="14">
        <v>0.42708333333333331</v>
      </c>
      <c r="F76" s="8">
        <v>45</v>
      </c>
      <c r="G76" s="8">
        <v>73</v>
      </c>
      <c r="H76" s="9">
        <f>(85.3+100.92+109.62+92+79+87.2+97+83)/8</f>
        <v>91.75500000000001</v>
      </c>
      <c r="I76" s="10"/>
      <c r="J76" s="27">
        <v>25</v>
      </c>
      <c r="N76" s="8">
        <v>73</v>
      </c>
    </row>
    <row r="77" spans="1:14" s="12" customFormat="1" ht="24.75" customHeight="1" x14ac:dyDescent="0.3">
      <c r="A77" s="8">
        <v>74</v>
      </c>
      <c r="B77" s="8">
        <v>26</v>
      </c>
      <c r="C77" s="8" t="s">
        <v>46</v>
      </c>
      <c r="D77" s="13">
        <v>44105</v>
      </c>
      <c r="E77" s="14">
        <v>0.43402777777777773</v>
      </c>
      <c r="F77" s="8">
        <v>45</v>
      </c>
      <c r="G77" s="8">
        <v>74</v>
      </c>
      <c r="H77" s="9">
        <f>(85.5+86+88+108.59+110.37+86+71+87.7)/8</f>
        <v>90.39500000000001</v>
      </c>
      <c r="I77" s="16"/>
      <c r="J77" s="27">
        <v>26</v>
      </c>
      <c r="N77" s="8">
        <v>74</v>
      </c>
    </row>
    <row r="78" spans="1:14" s="12" customFormat="1" ht="24.75" customHeight="1" x14ac:dyDescent="0.3">
      <c r="A78" s="8">
        <v>75</v>
      </c>
      <c r="B78" s="8">
        <v>27</v>
      </c>
      <c r="C78" s="8" t="s">
        <v>180</v>
      </c>
      <c r="D78" s="13">
        <v>44105</v>
      </c>
      <c r="E78" s="14">
        <v>0.4375</v>
      </c>
      <c r="F78" s="8">
        <v>45</v>
      </c>
      <c r="G78" s="8">
        <v>75</v>
      </c>
      <c r="H78" s="9">
        <f>(87.7+87.2+96+81+101+87+120.09+98.2)/8</f>
        <v>94.773750000000007</v>
      </c>
      <c r="I78" s="16"/>
      <c r="J78" s="27">
        <v>27</v>
      </c>
      <c r="N78" s="8">
        <v>75</v>
      </c>
    </row>
    <row r="79" spans="1:14" s="12" customFormat="1" ht="24.75" customHeight="1" x14ac:dyDescent="0.3">
      <c r="A79" s="8">
        <v>76</v>
      </c>
      <c r="B79" s="8">
        <v>28</v>
      </c>
      <c r="C79" s="8" t="s">
        <v>51</v>
      </c>
      <c r="D79" s="13">
        <v>44109</v>
      </c>
      <c r="E79" s="14">
        <v>0.46249999999999997</v>
      </c>
      <c r="F79" s="8">
        <v>45</v>
      </c>
      <c r="G79" s="8">
        <v>76</v>
      </c>
      <c r="H79" s="9">
        <f>(99+91+82+98.33+100.86+87.95)/6</f>
        <v>93.19</v>
      </c>
      <c r="I79" s="10"/>
      <c r="J79" s="27">
        <v>28</v>
      </c>
      <c r="N79" s="8">
        <v>76</v>
      </c>
    </row>
    <row r="80" spans="1:14" s="12" customFormat="1" ht="24.75" customHeight="1" x14ac:dyDescent="0.3">
      <c r="A80" s="8">
        <v>77</v>
      </c>
      <c r="B80" s="8">
        <v>29</v>
      </c>
      <c r="C80" s="8" t="s">
        <v>54</v>
      </c>
      <c r="D80" s="13">
        <v>44110</v>
      </c>
      <c r="E80" s="14">
        <v>0.4826388888888889</v>
      </c>
      <c r="F80" s="8">
        <v>45</v>
      </c>
      <c r="G80" s="8">
        <v>77</v>
      </c>
      <c r="H80" s="9">
        <f>(54+64+85.58+96.25+87.52+98.3)/6</f>
        <v>80.941666666666663</v>
      </c>
      <c r="I80" s="16"/>
      <c r="J80" s="27">
        <v>29</v>
      </c>
      <c r="N80" s="8">
        <v>77</v>
      </c>
    </row>
    <row r="81" spans="1:14" s="12" customFormat="1" ht="24.75" customHeight="1" x14ac:dyDescent="0.3">
      <c r="A81" s="8">
        <v>78</v>
      </c>
      <c r="B81" s="8">
        <v>30</v>
      </c>
      <c r="C81" s="15" t="s">
        <v>55</v>
      </c>
      <c r="D81" s="13">
        <v>44110</v>
      </c>
      <c r="E81" s="14">
        <v>0.51041666666666663</v>
      </c>
      <c r="F81" s="8">
        <v>45</v>
      </c>
      <c r="G81" s="8">
        <v>78</v>
      </c>
      <c r="H81" s="9">
        <f>(100+100+99.64+99.04+91.18+61)/6</f>
        <v>91.81</v>
      </c>
      <c r="I81" s="16"/>
      <c r="J81" s="27">
        <v>30</v>
      </c>
      <c r="N81" s="8">
        <v>78</v>
      </c>
    </row>
    <row r="82" spans="1:14" s="12" customFormat="1" ht="24.75" customHeight="1" x14ac:dyDescent="0.3">
      <c r="A82" s="8">
        <v>79</v>
      </c>
      <c r="B82" s="8">
        <v>31</v>
      </c>
      <c r="C82" s="15" t="s">
        <v>56</v>
      </c>
      <c r="D82" s="13">
        <v>44111</v>
      </c>
      <c r="E82" s="14">
        <v>0.67361111111111116</v>
      </c>
      <c r="F82" s="8">
        <v>45</v>
      </c>
      <c r="G82" s="8">
        <v>79</v>
      </c>
      <c r="H82" s="9">
        <f>(85+91+85.3+98.82+104.12+96.37)/6</f>
        <v>93.435000000000002</v>
      </c>
      <c r="I82" s="10"/>
      <c r="J82" s="27">
        <v>31</v>
      </c>
      <c r="N82" s="8">
        <v>79</v>
      </c>
    </row>
    <row r="83" spans="1:14" s="12" customFormat="1" ht="24.75" customHeight="1" x14ac:dyDescent="0.3">
      <c r="A83" s="8">
        <v>80</v>
      </c>
      <c r="B83" s="8">
        <v>32</v>
      </c>
      <c r="C83" s="15" t="s">
        <v>57</v>
      </c>
      <c r="D83" s="13">
        <v>44111</v>
      </c>
      <c r="E83" s="14">
        <v>0.6791666666666667</v>
      </c>
      <c r="F83" s="8">
        <v>45</v>
      </c>
      <c r="G83" s="8">
        <v>80</v>
      </c>
      <c r="H83" s="9">
        <f>(99.16+62+82+100.06+102.97+94.37)/6</f>
        <v>90.093333333333348</v>
      </c>
      <c r="I83" s="16"/>
      <c r="J83" s="27">
        <v>32</v>
      </c>
      <c r="N83" s="8">
        <v>80</v>
      </c>
    </row>
    <row r="84" spans="1:14" s="12" customFormat="1" ht="24.75" customHeight="1" x14ac:dyDescent="0.3">
      <c r="A84" s="8">
        <v>81</v>
      </c>
      <c r="B84" s="8">
        <v>33</v>
      </c>
      <c r="C84" s="15" t="s">
        <v>60</v>
      </c>
      <c r="D84" s="13">
        <v>44112</v>
      </c>
      <c r="E84" s="14">
        <v>0.65625</v>
      </c>
      <c r="F84" s="8">
        <v>45</v>
      </c>
      <c r="G84" s="8">
        <v>81</v>
      </c>
      <c r="H84" s="9">
        <f>(79+79+91+96.95+101.99+103.18)/6</f>
        <v>91.853333333333339</v>
      </c>
      <c r="I84" s="16"/>
      <c r="J84" s="27">
        <v>33</v>
      </c>
      <c r="N84" s="8">
        <v>81</v>
      </c>
    </row>
    <row r="85" spans="1:14" s="12" customFormat="1" ht="24.75" customHeight="1" x14ac:dyDescent="0.3">
      <c r="A85" s="8">
        <v>82</v>
      </c>
      <c r="B85" s="8">
        <v>34</v>
      </c>
      <c r="C85" s="8" t="s">
        <v>61</v>
      </c>
      <c r="D85" s="13">
        <v>44112</v>
      </c>
      <c r="E85" s="14">
        <v>0.6875</v>
      </c>
      <c r="F85" s="8">
        <v>45</v>
      </c>
      <c r="G85" s="8">
        <v>82</v>
      </c>
      <c r="H85" s="9">
        <f>(76+76+92.8+99.09+91.97+93)/6</f>
        <v>88.143333333333331</v>
      </c>
      <c r="I85" s="10"/>
      <c r="J85" s="27">
        <v>34</v>
      </c>
      <c r="N85" s="8">
        <v>82</v>
      </c>
    </row>
    <row r="86" spans="1:14" s="12" customFormat="1" ht="24.75" customHeight="1" x14ac:dyDescent="0.3">
      <c r="A86" s="8">
        <v>83</v>
      </c>
      <c r="B86" s="8">
        <v>35</v>
      </c>
      <c r="C86" s="8" t="s">
        <v>67</v>
      </c>
      <c r="D86" s="13">
        <v>44116</v>
      </c>
      <c r="E86" s="14">
        <v>0.47222222222222227</v>
      </c>
      <c r="F86" s="8">
        <v>45</v>
      </c>
      <c r="G86" s="8">
        <v>83</v>
      </c>
      <c r="H86" s="9">
        <f>(83+89+98.59+97.98+100.22+101.19)/6</f>
        <v>94.99666666666667</v>
      </c>
      <c r="I86" s="10"/>
      <c r="J86" s="27">
        <v>35</v>
      </c>
      <c r="N86" s="8">
        <v>83</v>
      </c>
    </row>
    <row r="87" spans="1:14" s="12" customFormat="1" ht="24.75" customHeight="1" x14ac:dyDescent="0.3">
      <c r="A87" s="8">
        <v>84</v>
      </c>
      <c r="B87" s="8">
        <v>36</v>
      </c>
      <c r="C87" s="8" t="s">
        <v>69</v>
      </c>
      <c r="D87" s="13">
        <v>44116</v>
      </c>
      <c r="E87" s="14">
        <v>0.48819444444444443</v>
      </c>
      <c r="F87" s="8">
        <v>45</v>
      </c>
      <c r="G87" s="8">
        <v>84</v>
      </c>
      <c r="H87" s="9">
        <f>(88.6+80+73+92.72+98.51+98.21)/6</f>
        <v>88.506666666666661</v>
      </c>
      <c r="I87" s="10"/>
      <c r="J87" s="27">
        <v>36</v>
      </c>
      <c r="N87" s="8">
        <v>84</v>
      </c>
    </row>
    <row r="88" spans="1:14" s="12" customFormat="1" ht="24.75" customHeight="1" x14ac:dyDescent="0.3">
      <c r="A88" s="8">
        <v>85</v>
      </c>
      <c r="B88" s="8">
        <v>37</v>
      </c>
      <c r="C88" s="8" t="s">
        <v>154</v>
      </c>
      <c r="D88" s="13">
        <v>44116</v>
      </c>
      <c r="E88" s="14">
        <v>0.49513888888888885</v>
      </c>
      <c r="F88" s="8">
        <v>45</v>
      </c>
      <c r="G88" s="8">
        <v>85</v>
      </c>
      <c r="H88" s="9">
        <f>(94.81+90+83+101.46+97.27+95.73)/6</f>
        <v>93.711666666666659</v>
      </c>
      <c r="I88" s="10" t="s">
        <v>19</v>
      </c>
      <c r="J88" s="27">
        <v>37</v>
      </c>
      <c r="N88" s="8">
        <v>85</v>
      </c>
    </row>
    <row r="89" spans="1:14" s="12" customFormat="1" ht="24.75" customHeight="1" x14ac:dyDescent="0.3">
      <c r="A89" s="8">
        <v>86</v>
      </c>
      <c r="B89" s="8">
        <v>38</v>
      </c>
      <c r="C89" s="8" t="s">
        <v>70</v>
      </c>
      <c r="D89" s="13">
        <v>44116</v>
      </c>
      <c r="E89" s="14">
        <v>0.50694444444444442</v>
      </c>
      <c r="F89" s="8">
        <v>45</v>
      </c>
      <c r="G89" s="8">
        <v>86</v>
      </c>
      <c r="H89" s="9">
        <f>(101.31+103.29+109.5+97+94+87.99+53.96)/7</f>
        <v>92.435714285714297</v>
      </c>
      <c r="I89" s="10"/>
      <c r="J89" s="27">
        <v>38</v>
      </c>
      <c r="N89" s="8">
        <v>86</v>
      </c>
    </row>
    <row r="90" spans="1:14" s="12" customFormat="1" ht="24.75" customHeight="1" x14ac:dyDescent="0.3">
      <c r="A90" s="8">
        <v>87</v>
      </c>
      <c r="B90" s="8">
        <v>39</v>
      </c>
      <c r="C90" s="8" t="s">
        <v>71</v>
      </c>
      <c r="D90" s="13">
        <v>44116</v>
      </c>
      <c r="E90" s="14">
        <v>0.51111111111111118</v>
      </c>
      <c r="F90" s="8">
        <v>45</v>
      </c>
      <c r="G90" s="8">
        <v>87</v>
      </c>
      <c r="H90" s="9">
        <f>(85.91+85.41+100.4+71+94+82.77)/6</f>
        <v>86.581666666666663</v>
      </c>
      <c r="I90" s="10"/>
      <c r="J90" s="27">
        <v>39</v>
      </c>
      <c r="N90" s="8">
        <v>87</v>
      </c>
    </row>
    <row r="91" spans="1:14" s="18" customFormat="1" ht="24.75" customHeight="1" x14ac:dyDescent="0.3">
      <c r="A91" s="15">
        <v>88</v>
      </c>
      <c r="B91" s="8">
        <v>40</v>
      </c>
      <c r="C91" s="8" t="s">
        <v>72</v>
      </c>
      <c r="D91" s="13">
        <v>44116</v>
      </c>
      <c r="E91" s="14">
        <v>0.51597222222222217</v>
      </c>
      <c r="F91" s="8">
        <v>45</v>
      </c>
      <c r="G91" s="8">
        <v>88</v>
      </c>
      <c r="H91" s="9">
        <f>(69+69+95.4+102.11+87.88+95.27)/6</f>
        <v>86.443333333333328</v>
      </c>
      <c r="I91" s="10"/>
      <c r="J91" s="27">
        <v>40</v>
      </c>
      <c r="N91" s="8">
        <v>88</v>
      </c>
    </row>
    <row r="92" spans="1:14" s="12" customFormat="1" ht="24.75" customHeight="1" x14ac:dyDescent="0.3">
      <c r="A92" s="8">
        <v>89</v>
      </c>
      <c r="B92" s="8">
        <v>41</v>
      </c>
      <c r="C92" s="8" t="s">
        <v>77</v>
      </c>
      <c r="D92" s="13">
        <v>44117</v>
      </c>
      <c r="E92" s="14">
        <v>0.47222222222222227</v>
      </c>
      <c r="F92" s="8">
        <v>45</v>
      </c>
      <c r="G92" s="8">
        <v>89</v>
      </c>
      <c r="H92" s="9">
        <f>(88+89+99.03+91.82+96.96+99.58)/6</f>
        <v>94.064999999999998</v>
      </c>
      <c r="I92" s="10"/>
      <c r="J92" s="27">
        <v>41</v>
      </c>
      <c r="N92" s="8">
        <v>89</v>
      </c>
    </row>
    <row r="93" spans="1:14" s="12" customFormat="1" ht="24.75" customHeight="1" x14ac:dyDescent="0.3">
      <c r="A93" s="8">
        <v>90</v>
      </c>
      <c r="B93" s="8">
        <v>42</v>
      </c>
      <c r="C93" s="8" t="s">
        <v>78</v>
      </c>
      <c r="D93" s="13">
        <v>44117</v>
      </c>
      <c r="E93" s="14">
        <v>0.47916666666666669</v>
      </c>
      <c r="F93" s="8">
        <v>45</v>
      </c>
      <c r="G93" s="8">
        <v>90</v>
      </c>
      <c r="H93" s="9">
        <f>(88.3+91.37+97.55+91.74+77+74)/6</f>
        <v>86.660000000000011</v>
      </c>
      <c r="I93" s="10"/>
      <c r="J93" s="27">
        <v>42</v>
      </c>
      <c r="N93" s="8">
        <v>90</v>
      </c>
    </row>
    <row r="94" spans="1:14" s="12" customFormat="1" ht="24.75" customHeight="1" x14ac:dyDescent="0.3">
      <c r="A94" s="19">
        <v>91</v>
      </c>
      <c r="B94" s="8">
        <v>43</v>
      </c>
      <c r="C94" s="8" t="s">
        <v>81</v>
      </c>
      <c r="D94" s="13">
        <v>44117</v>
      </c>
      <c r="E94" s="14">
        <v>0.50694444444444442</v>
      </c>
      <c r="F94" s="8">
        <v>45</v>
      </c>
      <c r="G94" s="8">
        <v>91</v>
      </c>
      <c r="H94" s="9">
        <f>(83+87+94.95+97.18+98.6+96.61)/6</f>
        <v>92.89</v>
      </c>
      <c r="I94" s="10"/>
      <c r="J94" s="27">
        <v>43</v>
      </c>
      <c r="N94" s="8">
        <v>91</v>
      </c>
    </row>
    <row r="95" spans="1:14" s="12" customFormat="1" ht="24.75" customHeight="1" x14ac:dyDescent="0.3">
      <c r="A95" s="8">
        <v>92</v>
      </c>
      <c r="B95" s="8">
        <v>44</v>
      </c>
      <c r="C95" s="8" t="s">
        <v>82</v>
      </c>
      <c r="D95" s="13">
        <v>44117</v>
      </c>
      <c r="E95" s="14">
        <v>0.51041666666666663</v>
      </c>
      <c r="F95" s="8">
        <v>45</v>
      </c>
      <c r="G95" s="8">
        <v>92</v>
      </c>
      <c r="H95" s="9">
        <f>(112+44+29+105.59+140.02+133.45)/6</f>
        <v>94.009999999999991</v>
      </c>
      <c r="I95" s="10"/>
      <c r="J95" s="27">
        <v>44</v>
      </c>
      <c r="N95" s="8">
        <v>92</v>
      </c>
    </row>
    <row r="96" spans="1:14" s="12" customFormat="1" ht="24.75" customHeight="1" x14ac:dyDescent="0.3">
      <c r="A96" s="8">
        <v>93</v>
      </c>
      <c r="B96" s="8">
        <v>45</v>
      </c>
      <c r="C96" s="8" t="s">
        <v>83</v>
      </c>
      <c r="D96" s="13">
        <v>44117</v>
      </c>
      <c r="E96" s="14">
        <v>0.51388888888888895</v>
      </c>
      <c r="F96" s="8">
        <v>45</v>
      </c>
      <c r="G96" s="8">
        <v>93</v>
      </c>
      <c r="H96" s="9">
        <f>(91+99+91+92.66+99.12+88.02)/6</f>
        <v>93.466666666666654</v>
      </c>
      <c r="I96" s="10" t="s">
        <v>18</v>
      </c>
      <c r="J96" s="27">
        <v>45</v>
      </c>
    </row>
    <row r="97" spans="1:14" s="12" customFormat="1" ht="24.75" customHeight="1" x14ac:dyDescent="0.3">
      <c r="A97" s="8">
        <v>94</v>
      </c>
      <c r="B97" s="8">
        <v>46</v>
      </c>
      <c r="C97" s="8" t="s">
        <v>84</v>
      </c>
      <c r="D97" s="13">
        <v>44117</v>
      </c>
      <c r="E97" s="14">
        <v>0.52083333333333337</v>
      </c>
      <c r="F97" s="8">
        <v>45</v>
      </c>
      <c r="G97" s="8">
        <v>94</v>
      </c>
      <c r="H97" s="9">
        <f>(104+82+88+98.92+104.41+88.77)/6</f>
        <v>94.350000000000009</v>
      </c>
      <c r="I97" s="10"/>
      <c r="J97" s="27">
        <v>46</v>
      </c>
      <c r="N97" s="8">
        <v>93</v>
      </c>
    </row>
    <row r="98" spans="1:14" s="12" customFormat="1" ht="24.75" customHeight="1" x14ac:dyDescent="0.3">
      <c r="A98" s="8">
        <v>95</v>
      </c>
      <c r="B98" s="8">
        <v>47</v>
      </c>
      <c r="C98" s="8" t="s">
        <v>87</v>
      </c>
      <c r="D98" s="13">
        <v>44117</v>
      </c>
      <c r="E98" s="14">
        <v>0.53402777777777777</v>
      </c>
      <c r="F98" s="8">
        <v>45</v>
      </c>
      <c r="G98" s="8">
        <v>95</v>
      </c>
      <c r="H98" s="9">
        <f>(82+93+95.66+96.05+96.93+98.47)/6</f>
        <v>93.685000000000002</v>
      </c>
      <c r="I98" s="10"/>
      <c r="J98" s="27">
        <v>47</v>
      </c>
      <c r="N98" s="8">
        <v>94</v>
      </c>
    </row>
    <row r="99" spans="1:14" s="12" customFormat="1" ht="24.75" customHeight="1" x14ac:dyDescent="0.3">
      <c r="A99" s="8">
        <v>96</v>
      </c>
      <c r="B99" s="8">
        <v>48</v>
      </c>
      <c r="C99" s="8" t="s">
        <v>88</v>
      </c>
      <c r="D99" s="13">
        <v>44117</v>
      </c>
      <c r="E99" s="14">
        <v>0.59652777777777777</v>
      </c>
      <c r="F99" s="8">
        <v>45</v>
      </c>
      <c r="G99" s="8">
        <v>96</v>
      </c>
      <c r="H99" s="9">
        <f>(86+78+92.84+87.22+80.6+90.68)/6</f>
        <v>85.890000000000029</v>
      </c>
      <c r="I99" s="10"/>
      <c r="J99" s="27">
        <v>48</v>
      </c>
      <c r="N99" s="8">
        <v>95</v>
      </c>
    </row>
    <row r="100" spans="1:14" s="12" customFormat="1" ht="24.75" customHeight="1" x14ac:dyDescent="0.3">
      <c r="A100" s="8">
        <v>98</v>
      </c>
      <c r="B100" s="8">
        <v>49</v>
      </c>
      <c r="C100" s="8" t="s">
        <v>95</v>
      </c>
      <c r="D100" s="13">
        <v>44118</v>
      </c>
      <c r="E100" s="14">
        <v>0.4909722222222222</v>
      </c>
      <c r="F100" s="8">
        <v>45</v>
      </c>
      <c r="G100" s="8">
        <v>98</v>
      </c>
      <c r="H100" s="9">
        <f>(87.3+99.9+103.4+99.36+86+75)/6</f>
        <v>91.826666666666668</v>
      </c>
      <c r="I100" s="10"/>
      <c r="J100" s="27">
        <v>49</v>
      </c>
      <c r="N100" s="8">
        <v>97</v>
      </c>
    </row>
    <row r="101" spans="1:14" s="12" customFormat="1" ht="24.75" customHeight="1" x14ac:dyDescent="0.3">
      <c r="A101" s="8">
        <v>99</v>
      </c>
      <c r="B101" s="8">
        <v>50</v>
      </c>
      <c r="C101" s="8" t="s">
        <v>96</v>
      </c>
      <c r="D101" s="13">
        <v>44118</v>
      </c>
      <c r="E101" s="14">
        <v>0.53402777777777777</v>
      </c>
      <c r="F101" s="8">
        <v>45</v>
      </c>
      <c r="G101" s="8">
        <v>99</v>
      </c>
      <c r="H101" s="9">
        <f>(86+72+90.98+96.79+103.5+91.19)/6</f>
        <v>90.076666666666668</v>
      </c>
      <c r="I101" s="10"/>
      <c r="J101" s="27">
        <v>50</v>
      </c>
      <c r="N101" s="8">
        <v>98</v>
      </c>
    </row>
    <row r="102" spans="1:14" s="12" customFormat="1" ht="24.75" customHeight="1" x14ac:dyDescent="0.3">
      <c r="A102" s="8">
        <v>100</v>
      </c>
      <c r="B102" s="8">
        <v>51</v>
      </c>
      <c r="C102" s="8" t="s">
        <v>98</v>
      </c>
      <c r="D102" s="13">
        <v>44118</v>
      </c>
      <c r="E102" s="14">
        <v>0.62152777777777779</v>
      </c>
      <c r="F102" s="8">
        <v>45</v>
      </c>
      <c r="G102" s="8">
        <v>100</v>
      </c>
      <c r="H102" s="9">
        <f>(82.49+82.59+99.97+78.12+64+76)/6</f>
        <v>80.528333333333322</v>
      </c>
      <c r="I102" s="10"/>
      <c r="J102" s="27">
        <v>51</v>
      </c>
      <c r="N102" s="8">
        <v>99</v>
      </c>
    </row>
    <row r="103" spans="1:14" s="12" customFormat="1" ht="24.75" customHeight="1" x14ac:dyDescent="0.3">
      <c r="A103" s="8">
        <v>101</v>
      </c>
      <c r="B103" s="8">
        <v>52</v>
      </c>
      <c r="C103" s="8" t="s">
        <v>100</v>
      </c>
      <c r="D103" s="13">
        <v>44118</v>
      </c>
      <c r="E103" s="14">
        <v>0.63541666666666663</v>
      </c>
      <c r="F103" s="8">
        <v>45</v>
      </c>
      <c r="G103" s="8">
        <v>101</v>
      </c>
      <c r="H103" s="9">
        <f>(96.7+92.25+95.25+98.85+82+71)/6</f>
        <v>89.341666666666654</v>
      </c>
      <c r="I103" s="10"/>
      <c r="J103" s="27">
        <v>52</v>
      </c>
      <c r="N103" s="8">
        <v>100</v>
      </c>
    </row>
    <row r="104" spans="1:14" s="12" customFormat="1" ht="24.75" customHeight="1" x14ac:dyDescent="0.3">
      <c r="A104" s="8">
        <v>102</v>
      </c>
      <c r="B104" s="8">
        <v>53</v>
      </c>
      <c r="C104" s="8" t="s">
        <v>101</v>
      </c>
      <c r="D104" s="13">
        <v>44118</v>
      </c>
      <c r="E104" s="14">
        <v>0.64583333333333337</v>
      </c>
      <c r="F104" s="8">
        <v>45</v>
      </c>
      <c r="G104" s="8">
        <v>102</v>
      </c>
      <c r="H104" s="9">
        <f>(95+77+81+105.3+103.5+98.01)/6</f>
        <v>93.301666666666677</v>
      </c>
      <c r="I104" s="10"/>
      <c r="J104" s="27">
        <v>53</v>
      </c>
      <c r="N104" s="8">
        <v>101</v>
      </c>
    </row>
    <row r="105" spans="1:14" s="12" customFormat="1" ht="37.5" customHeight="1" x14ac:dyDescent="0.3">
      <c r="A105" s="8">
        <v>103</v>
      </c>
      <c r="B105" s="8">
        <v>54</v>
      </c>
      <c r="C105" s="8" t="s">
        <v>104</v>
      </c>
      <c r="D105" s="13">
        <v>44118</v>
      </c>
      <c r="E105" s="14">
        <v>0.67361111111111116</v>
      </c>
      <c r="F105" s="8">
        <v>45</v>
      </c>
      <c r="G105" s="8">
        <v>103</v>
      </c>
      <c r="H105" s="9">
        <f>(71+74+98.52+82.82+99.63+98.63)/6</f>
        <v>87.433333333333323</v>
      </c>
      <c r="I105" s="17" t="s">
        <v>16</v>
      </c>
      <c r="J105" s="27">
        <v>54</v>
      </c>
      <c r="N105" s="8">
        <v>102</v>
      </c>
    </row>
    <row r="106" spans="1:14" s="12" customFormat="1" ht="43.5" customHeight="1" x14ac:dyDescent="0.3">
      <c r="A106" s="8">
        <v>104</v>
      </c>
      <c r="B106" s="8">
        <v>55</v>
      </c>
      <c r="C106" s="8" t="s">
        <v>105</v>
      </c>
      <c r="D106" s="13">
        <v>44118</v>
      </c>
      <c r="E106" s="14">
        <v>0.68055555555555547</v>
      </c>
      <c r="F106" s="8">
        <v>45</v>
      </c>
      <c r="G106" s="8">
        <v>104</v>
      </c>
      <c r="H106" s="9">
        <f>(90+79+86.13+97.5+96.89+109.96)/6</f>
        <v>93.24666666666667</v>
      </c>
      <c r="I106" s="17" t="s">
        <v>16</v>
      </c>
      <c r="J106" s="27">
        <v>55</v>
      </c>
      <c r="N106" s="8">
        <v>103</v>
      </c>
    </row>
    <row r="107" spans="1:14" s="12" customFormat="1" ht="47.25" customHeight="1" x14ac:dyDescent="0.3">
      <c r="A107" s="8">
        <v>105</v>
      </c>
      <c r="B107" s="8">
        <v>56</v>
      </c>
      <c r="C107" s="5" t="s">
        <v>106</v>
      </c>
      <c r="D107" s="13">
        <v>44118</v>
      </c>
      <c r="E107" s="14">
        <v>0.68402777777777779</v>
      </c>
      <c r="F107" s="8">
        <v>45</v>
      </c>
      <c r="G107" s="8">
        <v>105</v>
      </c>
      <c r="H107" s="9">
        <f>(113+78+82+86+78.91+69.87+91.54)/7</f>
        <v>85.617142857142852</v>
      </c>
      <c r="I107" s="17" t="s">
        <v>16</v>
      </c>
      <c r="J107" s="27">
        <v>56</v>
      </c>
      <c r="N107" s="8">
        <v>104</v>
      </c>
    </row>
    <row r="108" spans="1:14" s="12" customFormat="1" ht="54.75" hidden="1" customHeight="1" x14ac:dyDescent="0.3">
      <c r="A108" s="8">
        <v>106</v>
      </c>
      <c r="B108" s="8">
        <v>57</v>
      </c>
      <c r="C108" s="8" t="s">
        <v>94</v>
      </c>
      <c r="D108" s="13">
        <v>44118</v>
      </c>
      <c r="E108" s="14">
        <v>0.3888888888888889</v>
      </c>
      <c r="F108" s="8">
        <v>45</v>
      </c>
      <c r="G108" s="8"/>
      <c r="H108" s="9">
        <f>(88+81+96.89+95.36+99.23+95)/6</f>
        <v>92.58</v>
      </c>
      <c r="I108" s="17" t="s">
        <v>16</v>
      </c>
      <c r="J108" s="27">
        <v>57</v>
      </c>
      <c r="N108" s="8">
        <v>105</v>
      </c>
    </row>
    <row r="109" spans="1:14" s="12" customFormat="1" ht="49.5" customHeight="1" x14ac:dyDescent="0.3">
      <c r="A109" s="8">
        <v>107</v>
      </c>
      <c r="B109" s="8">
        <v>58</v>
      </c>
      <c r="C109" s="5" t="s">
        <v>108</v>
      </c>
      <c r="D109" s="13">
        <v>44118</v>
      </c>
      <c r="E109" s="14">
        <v>0.69791666666666663</v>
      </c>
      <c r="F109" s="8">
        <v>45</v>
      </c>
      <c r="G109" s="8">
        <v>106</v>
      </c>
      <c r="H109" s="9">
        <f>(164+62+39+102.78+108.63+84.89)/6</f>
        <v>93.55</v>
      </c>
      <c r="I109" s="17" t="s">
        <v>16</v>
      </c>
      <c r="J109" s="27">
        <v>58</v>
      </c>
      <c r="N109" s="8">
        <v>106</v>
      </c>
    </row>
    <row r="110" spans="1:14" s="12" customFormat="1" ht="35.25" customHeight="1" x14ac:dyDescent="0.3">
      <c r="A110" s="8">
        <v>108</v>
      </c>
      <c r="B110" s="8">
        <v>59</v>
      </c>
      <c r="C110" s="5" t="s">
        <v>109</v>
      </c>
      <c r="D110" s="13">
        <v>44118</v>
      </c>
      <c r="E110" s="14">
        <v>0.70486111111111116</v>
      </c>
      <c r="F110" s="8">
        <v>45</v>
      </c>
      <c r="G110" s="8">
        <v>107</v>
      </c>
      <c r="H110" s="9">
        <f>(93+90+73+85.51+69.86+90.41)/6</f>
        <v>83.63</v>
      </c>
      <c r="I110" s="10"/>
      <c r="J110" s="27">
        <v>59</v>
      </c>
      <c r="N110" s="8">
        <v>107</v>
      </c>
    </row>
    <row r="111" spans="1:14" s="12" customFormat="1" ht="35.25" customHeight="1" x14ac:dyDescent="0.3">
      <c r="A111" s="8">
        <v>109</v>
      </c>
      <c r="B111" s="8">
        <v>60</v>
      </c>
      <c r="C111" s="5" t="s">
        <v>111</v>
      </c>
      <c r="D111" s="13">
        <v>44118</v>
      </c>
      <c r="E111" s="14">
        <v>0.71527777777777779</v>
      </c>
      <c r="F111" s="8">
        <v>45</v>
      </c>
      <c r="G111" s="8">
        <v>108</v>
      </c>
      <c r="H111" s="9">
        <f>(147+115+87+69+61+45+78.11+75.11+137.83+145.14+103.94+72.57)/12</f>
        <v>94.725000000000009</v>
      </c>
      <c r="I111" s="10"/>
      <c r="J111" s="27">
        <v>60</v>
      </c>
      <c r="N111" s="8">
        <v>108</v>
      </c>
    </row>
    <row r="112" spans="1:14" s="12" customFormat="1" ht="35.25" customHeight="1" x14ac:dyDescent="0.3">
      <c r="A112" s="8">
        <v>110</v>
      </c>
      <c r="B112" s="8">
        <v>61</v>
      </c>
      <c r="C112" s="5" t="s">
        <v>113</v>
      </c>
      <c r="D112" s="13">
        <v>44118</v>
      </c>
      <c r="E112" s="14">
        <v>0.72916666666666663</v>
      </c>
      <c r="F112" s="8">
        <v>45</v>
      </c>
      <c r="G112" s="8">
        <v>109</v>
      </c>
      <c r="H112" s="9">
        <f>(102+53+51+98.36+93.61+91.29)/6</f>
        <v>81.543333333333337</v>
      </c>
      <c r="I112" s="10"/>
      <c r="J112" s="27">
        <v>61</v>
      </c>
      <c r="N112" s="8">
        <v>109</v>
      </c>
    </row>
    <row r="113" spans="1:14" s="12" customFormat="1" ht="24.75" customHeight="1" x14ac:dyDescent="0.3">
      <c r="A113" s="8">
        <v>111</v>
      </c>
      <c r="B113" s="8">
        <v>62</v>
      </c>
      <c r="C113" s="8" t="s">
        <v>114</v>
      </c>
      <c r="D113" s="13">
        <v>44118</v>
      </c>
      <c r="E113" s="14">
        <v>0.73263888888888884</v>
      </c>
      <c r="F113" s="8">
        <v>45</v>
      </c>
      <c r="G113" s="8">
        <v>110</v>
      </c>
      <c r="H113" s="9">
        <f>(88+85+95.28+88.71+102.08+99.14)/6</f>
        <v>93.034999999999982</v>
      </c>
      <c r="I113" s="10"/>
      <c r="J113" s="27">
        <v>62</v>
      </c>
      <c r="N113" s="8">
        <v>110</v>
      </c>
    </row>
    <row r="114" spans="1:14" s="12" customFormat="1" ht="34.5" customHeight="1" x14ac:dyDescent="0.3">
      <c r="A114" s="8">
        <v>112</v>
      </c>
      <c r="B114" s="8">
        <v>63</v>
      </c>
      <c r="C114" s="8" t="s">
        <v>118</v>
      </c>
      <c r="D114" s="13">
        <v>44118</v>
      </c>
      <c r="E114" s="14">
        <v>0.75347222222222221</v>
      </c>
      <c r="F114" s="8">
        <v>45</v>
      </c>
      <c r="G114" s="8">
        <v>111</v>
      </c>
      <c r="H114" s="9">
        <f>(76+63+97.09+95.2+82.66+99.76)/6</f>
        <v>85.618333333333339</v>
      </c>
      <c r="I114" s="10"/>
      <c r="J114" s="27">
        <v>63</v>
      </c>
      <c r="N114" s="8">
        <v>111</v>
      </c>
    </row>
    <row r="115" spans="1:14" s="12" customFormat="1" ht="34.5" customHeight="1" x14ac:dyDescent="0.3">
      <c r="A115" s="8">
        <v>113</v>
      </c>
      <c r="B115" s="8">
        <v>64</v>
      </c>
      <c r="C115" s="8" t="s">
        <v>181</v>
      </c>
      <c r="D115" s="13">
        <v>44119</v>
      </c>
      <c r="E115" s="14">
        <v>0.44166666666666665</v>
      </c>
      <c r="F115" s="8">
        <v>45</v>
      </c>
      <c r="G115" s="8">
        <v>112</v>
      </c>
      <c r="H115" s="9">
        <f>(90.07+94.05+81.15+96.34+94+95)/6</f>
        <v>91.768333333333331</v>
      </c>
      <c r="I115" s="10"/>
      <c r="J115" s="27">
        <v>64</v>
      </c>
      <c r="N115" s="8">
        <v>112</v>
      </c>
    </row>
    <row r="116" spans="1:14" s="12" customFormat="1" ht="34.5" customHeight="1" x14ac:dyDescent="0.3">
      <c r="A116" s="8">
        <v>114</v>
      </c>
      <c r="B116" s="8">
        <v>65</v>
      </c>
      <c r="C116" s="8" t="s">
        <v>120</v>
      </c>
      <c r="D116" s="13">
        <v>44119</v>
      </c>
      <c r="E116" s="14">
        <v>0.46875</v>
      </c>
      <c r="F116" s="8">
        <v>45</v>
      </c>
      <c r="G116" s="8">
        <v>113</v>
      </c>
      <c r="H116" s="9">
        <f>(99.83+106.04+83.6+111.13+71+59)/6</f>
        <v>88.433333333333337</v>
      </c>
      <c r="I116" s="10"/>
      <c r="J116" s="27">
        <v>65</v>
      </c>
      <c r="N116" s="8">
        <v>113</v>
      </c>
    </row>
    <row r="117" spans="1:14" s="12" customFormat="1" ht="34.5" customHeight="1" x14ac:dyDescent="0.3">
      <c r="A117" s="8">
        <v>115</v>
      </c>
      <c r="B117" s="8">
        <v>66</v>
      </c>
      <c r="C117" s="8" t="s">
        <v>121</v>
      </c>
      <c r="D117" s="13">
        <v>44119</v>
      </c>
      <c r="E117" s="14">
        <v>0.47569444444444442</v>
      </c>
      <c r="F117" s="8">
        <v>45</v>
      </c>
      <c r="G117" s="8">
        <v>114</v>
      </c>
      <c r="H117" s="9">
        <f>(99.19+100.99+106.37+93.62+83+82)/6</f>
        <v>94.195000000000007</v>
      </c>
      <c r="I117" s="10"/>
      <c r="J117" s="27">
        <v>66</v>
      </c>
      <c r="N117" s="8">
        <v>114</v>
      </c>
    </row>
    <row r="118" spans="1:14" s="12" customFormat="1" ht="34.5" customHeight="1" x14ac:dyDescent="0.3">
      <c r="A118" s="8">
        <v>116</v>
      </c>
      <c r="B118" s="8">
        <v>67</v>
      </c>
      <c r="C118" s="8" t="s">
        <v>122</v>
      </c>
      <c r="D118" s="13">
        <v>44119</v>
      </c>
      <c r="E118" s="14">
        <v>0.47916666666666669</v>
      </c>
      <c r="F118" s="8">
        <v>45</v>
      </c>
      <c r="G118" s="8">
        <v>115</v>
      </c>
      <c r="H118" s="9">
        <f>(87.02+95.96+90.38+114.77+83+74)/6</f>
        <v>90.855000000000004</v>
      </c>
      <c r="I118" s="10"/>
      <c r="J118" s="27">
        <v>67</v>
      </c>
      <c r="N118" s="8">
        <v>115</v>
      </c>
    </row>
    <row r="119" spans="1:14" s="12" customFormat="1" ht="24.75" customHeight="1" x14ac:dyDescent="0.3">
      <c r="A119" s="8">
        <v>117</v>
      </c>
      <c r="B119" s="8">
        <v>68</v>
      </c>
      <c r="C119" s="15" t="s">
        <v>123</v>
      </c>
      <c r="D119" s="13">
        <v>44119</v>
      </c>
      <c r="E119" s="14">
        <v>0.4826388888888889</v>
      </c>
      <c r="F119" s="8">
        <v>45</v>
      </c>
      <c r="G119" s="8">
        <v>116</v>
      </c>
      <c r="H119" s="9">
        <f>(90.17+97.06+91.18+97.88+92+89)/6</f>
        <v>92.881666666666661</v>
      </c>
      <c r="I119" s="10"/>
      <c r="J119" s="27">
        <v>68</v>
      </c>
      <c r="N119" s="8">
        <v>116</v>
      </c>
    </row>
    <row r="120" spans="1:14" s="12" customFormat="1" ht="24.75" customHeight="1" x14ac:dyDescent="0.3">
      <c r="A120" s="8">
        <v>118</v>
      </c>
      <c r="B120" s="8">
        <v>69</v>
      </c>
      <c r="C120" s="8" t="s">
        <v>124</v>
      </c>
      <c r="D120" s="13">
        <v>44119</v>
      </c>
      <c r="E120" s="14">
        <v>0.4861111111111111</v>
      </c>
      <c r="F120" s="8">
        <v>45</v>
      </c>
      <c r="G120" s="8">
        <v>117</v>
      </c>
      <c r="H120" s="9">
        <f>(89.81+89.78+82.44+98.84+78+73)/6</f>
        <v>85.311666666666667</v>
      </c>
      <c r="I120" s="10"/>
      <c r="J120" s="27">
        <v>69</v>
      </c>
      <c r="N120" s="8">
        <v>117</v>
      </c>
    </row>
    <row r="121" spans="1:14" s="12" customFormat="1" ht="24.75" customHeight="1" x14ac:dyDescent="0.3">
      <c r="A121" s="8">
        <v>119</v>
      </c>
      <c r="B121" s="8">
        <v>70</v>
      </c>
      <c r="C121" s="8" t="s">
        <v>134</v>
      </c>
      <c r="D121" s="13">
        <v>44119</v>
      </c>
      <c r="E121" s="14">
        <v>0.67361111111111116</v>
      </c>
      <c r="F121" s="8">
        <v>45</v>
      </c>
      <c r="G121" s="8">
        <v>118</v>
      </c>
      <c r="H121" s="9">
        <f>(98.2+113.01+85.92+101.31+71+59)/6</f>
        <v>88.073333333333338</v>
      </c>
      <c r="I121" s="10"/>
      <c r="J121" s="27">
        <v>70</v>
      </c>
      <c r="N121" s="8">
        <v>118</v>
      </c>
    </row>
    <row r="122" spans="1:14" s="12" customFormat="1" ht="24.75" customHeight="1" x14ac:dyDescent="0.3">
      <c r="A122" s="8">
        <v>120</v>
      </c>
      <c r="B122" s="8">
        <v>71</v>
      </c>
      <c r="C122" s="8" t="s">
        <v>137</v>
      </c>
      <c r="D122" s="13">
        <v>44119</v>
      </c>
      <c r="E122" s="14">
        <v>0.69097222222222221</v>
      </c>
      <c r="F122" s="8">
        <v>45</v>
      </c>
      <c r="G122" s="8">
        <v>119</v>
      </c>
      <c r="H122" s="9">
        <f>(90+84+87.78+96.32+93.41+98.34)/6</f>
        <v>91.641666666666666</v>
      </c>
      <c r="I122" s="10"/>
      <c r="J122" s="27">
        <v>71</v>
      </c>
      <c r="N122" s="8">
        <v>119</v>
      </c>
    </row>
    <row r="123" spans="1:14" s="12" customFormat="1" ht="24.75" customHeight="1" x14ac:dyDescent="0.3">
      <c r="A123" s="8">
        <v>121</v>
      </c>
      <c r="B123" s="8">
        <v>72</v>
      </c>
      <c r="C123" s="8" t="s">
        <v>139</v>
      </c>
      <c r="D123" s="13">
        <v>44119</v>
      </c>
      <c r="E123" s="14">
        <v>0.70486111111111116</v>
      </c>
      <c r="F123" s="8">
        <v>45</v>
      </c>
      <c r="G123" s="8">
        <v>120</v>
      </c>
      <c r="H123" s="9">
        <f>(87+88+97.4+100.06+90.3+92)/6</f>
        <v>92.46</v>
      </c>
      <c r="I123" s="16"/>
      <c r="J123" s="27">
        <v>72</v>
      </c>
      <c r="N123" s="8">
        <v>120</v>
      </c>
    </row>
    <row r="124" spans="1:14" s="12" customFormat="1" ht="42" customHeight="1" x14ac:dyDescent="0.3">
      <c r="A124" s="8">
        <v>122</v>
      </c>
      <c r="B124" s="8">
        <v>73</v>
      </c>
      <c r="C124" s="8" t="s">
        <v>147</v>
      </c>
      <c r="D124" s="13">
        <v>44119</v>
      </c>
      <c r="E124" s="14">
        <v>0.76041666666666663</v>
      </c>
      <c r="F124" s="8">
        <v>45</v>
      </c>
      <c r="G124" s="8">
        <v>121</v>
      </c>
      <c r="H124" s="9">
        <f>(81+87+100.89+96.15+101.91+95.77)/6</f>
        <v>93.786666666666648</v>
      </c>
      <c r="I124" s="17" t="s">
        <v>16</v>
      </c>
      <c r="J124" s="27">
        <v>73</v>
      </c>
      <c r="N124" s="8">
        <v>121</v>
      </c>
    </row>
    <row r="125" spans="1:14" s="12" customFormat="1" ht="52.5" customHeight="1" x14ac:dyDescent="0.3">
      <c r="A125" s="8">
        <v>124</v>
      </c>
      <c r="B125" s="8">
        <v>74</v>
      </c>
      <c r="C125" s="8" t="s">
        <v>68</v>
      </c>
      <c r="D125" s="13">
        <v>44116</v>
      </c>
      <c r="E125" s="14">
        <v>0.47847222222222219</v>
      </c>
      <c r="F125" s="8">
        <v>35</v>
      </c>
      <c r="G125" s="8">
        <v>123</v>
      </c>
      <c r="H125" s="9">
        <f>(43+61+83.78+64.32+98.42+59.65)/6</f>
        <v>68.361666666666665</v>
      </c>
      <c r="I125" s="17" t="s">
        <v>16</v>
      </c>
      <c r="J125" s="27">
        <v>74</v>
      </c>
      <c r="N125" s="8">
        <v>123</v>
      </c>
    </row>
    <row r="126" spans="1:14" s="12" customFormat="1" ht="24.75" customHeight="1" x14ac:dyDescent="0.3">
      <c r="A126" s="8">
        <v>125</v>
      </c>
      <c r="B126" s="8">
        <v>75</v>
      </c>
      <c r="C126" s="8" t="s">
        <v>153</v>
      </c>
      <c r="D126" s="13">
        <v>44116</v>
      </c>
      <c r="E126" s="14">
        <v>0.69652777777777775</v>
      </c>
      <c r="F126" s="8">
        <v>35</v>
      </c>
      <c r="G126" s="8">
        <v>124</v>
      </c>
      <c r="H126" s="9">
        <f>(92.52+93.77+91.65+50+69+73)/6</f>
        <v>78.323333333333338</v>
      </c>
      <c r="I126" s="10"/>
      <c r="J126" s="27">
        <v>75</v>
      </c>
      <c r="N126" s="8">
        <v>124</v>
      </c>
    </row>
    <row r="127" spans="1:14" s="12" customFormat="1" ht="36.75" customHeight="1" x14ac:dyDescent="0.3">
      <c r="A127" s="8">
        <v>126</v>
      </c>
      <c r="B127" s="8">
        <v>76</v>
      </c>
      <c r="C127" s="5" t="s">
        <v>107</v>
      </c>
      <c r="D127" s="13">
        <v>44118</v>
      </c>
      <c r="E127" s="14">
        <v>0.69444444444444453</v>
      </c>
      <c r="F127" s="8">
        <v>35</v>
      </c>
      <c r="G127" s="8">
        <v>125</v>
      </c>
      <c r="H127" s="9">
        <f>(82+67+50+92.08+74.29+103.62)/6</f>
        <v>78.165000000000006</v>
      </c>
      <c r="I127" s="10" t="s">
        <v>17</v>
      </c>
      <c r="J127" s="27">
        <v>76</v>
      </c>
      <c r="N127" s="8">
        <v>125</v>
      </c>
    </row>
    <row r="128" spans="1:14" s="12" customFormat="1" ht="36.75" customHeight="1" x14ac:dyDescent="0.3">
      <c r="A128" s="8">
        <v>127</v>
      </c>
      <c r="B128" s="8">
        <v>77</v>
      </c>
      <c r="C128" s="5" t="s">
        <v>110</v>
      </c>
      <c r="D128" s="13">
        <v>44118</v>
      </c>
      <c r="E128" s="14">
        <v>0.70833333333333337</v>
      </c>
      <c r="F128" s="8">
        <v>35</v>
      </c>
      <c r="G128" s="8">
        <v>126</v>
      </c>
      <c r="H128" s="9">
        <f>(69+27+7+69.27+50.47+123.33)/6</f>
        <v>57.678333333333335</v>
      </c>
      <c r="I128" s="10"/>
      <c r="J128" s="27">
        <v>77</v>
      </c>
      <c r="N128" s="8">
        <v>126</v>
      </c>
    </row>
    <row r="129" spans="1:14" s="12" customFormat="1" ht="36.75" customHeight="1" x14ac:dyDescent="0.3">
      <c r="A129" s="8">
        <v>128</v>
      </c>
      <c r="B129" s="8">
        <v>78</v>
      </c>
      <c r="C129" s="5" t="s">
        <v>112</v>
      </c>
      <c r="D129" s="13">
        <v>44118</v>
      </c>
      <c r="E129" s="14">
        <v>0.72222222222222221</v>
      </c>
      <c r="F129" s="8">
        <v>35</v>
      </c>
      <c r="G129" s="8">
        <v>127</v>
      </c>
      <c r="H129" s="9">
        <f>(49+47+43+50.13+37.09+76.87)/6</f>
        <v>50.515000000000008</v>
      </c>
      <c r="I129" s="16"/>
      <c r="J129" s="27">
        <v>78</v>
      </c>
      <c r="N129" s="8">
        <v>127</v>
      </c>
    </row>
    <row r="130" spans="1:14" s="12" customFormat="1" ht="24.75" customHeight="1" x14ac:dyDescent="0.3">
      <c r="A130" s="8">
        <v>129</v>
      </c>
      <c r="B130" s="8">
        <v>79</v>
      </c>
      <c r="C130" s="8" t="s">
        <v>115</v>
      </c>
      <c r="D130" s="13">
        <v>44118</v>
      </c>
      <c r="E130" s="14">
        <v>0.73611111111111116</v>
      </c>
      <c r="F130" s="8">
        <v>35</v>
      </c>
      <c r="G130" s="8">
        <v>128</v>
      </c>
      <c r="H130" s="9">
        <f>(88.9+97+86+0+0+0)/6</f>
        <v>45.316666666666663</v>
      </c>
      <c r="I130" s="17"/>
      <c r="J130" s="27">
        <v>79</v>
      </c>
      <c r="N130" s="8">
        <v>128</v>
      </c>
    </row>
    <row r="131" spans="1:14" s="12" customFormat="1" ht="24.75" customHeight="1" x14ac:dyDescent="0.3">
      <c r="A131" s="8">
        <v>130</v>
      </c>
      <c r="B131" s="8">
        <v>80</v>
      </c>
      <c r="C131" s="8" t="s">
        <v>119</v>
      </c>
      <c r="D131" s="13">
        <v>44119</v>
      </c>
      <c r="E131" s="14">
        <v>0.40972222222222227</v>
      </c>
      <c r="F131" s="8">
        <v>35</v>
      </c>
      <c r="G131" s="8">
        <v>129</v>
      </c>
      <c r="H131" s="9">
        <f>(87+82+74+75.16+64.99+80.73)/6</f>
        <v>77.313333333333333</v>
      </c>
      <c r="I131" s="23"/>
      <c r="J131" s="27">
        <v>80</v>
      </c>
      <c r="N131" s="8">
        <v>129</v>
      </c>
    </row>
    <row r="132" spans="1:14" s="12" customFormat="1" ht="24.75" customHeight="1" x14ac:dyDescent="0.3">
      <c r="A132" s="8">
        <v>131</v>
      </c>
      <c r="B132" s="8">
        <v>81</v>
      </c>
      <c r="C132" s="8" t="s">
        <v>126</v>
      </c>
      <c r="D132" s="13">
        <v>44119</v>
      </c>
      <c r="E132" s="14">
        <v>0.61944444444444446</v>
      </c>
      <c r="F132" s="8">
        <v>35</v>
      </c>
      <c r="G132" s="15">
        <v>130</v>
      </c>
      <c r="H132" s="9">
        <f>(90.25+92+93+0+0+0)/6</f>
        <v>45.875</v>
      </c>
      <c r="I132" s="16"/>
      <c r="J132" s="27">
        <v>81</v>
      </c>
      <c r="N132" s="15">
        <v>130</v>
      </c>
    </row>
    <row r="133" spans="1:14" s="12" customFormat="1" ht="36.75" customHeight="1" x14ac:dyDescent="0.3">
      <c r="A133" s="8">
        <v>133</v>
      </c>
      <c r="B133" s="8">
        <v>82</v>
      </c>
      <c r="C133" s="8" t="s">
        <v>103</v>
      </c>
      <c r="D133" s="13">
        <v>44118</v>
      </c>
      <c r="E133" s="14">
        <v>0.66666666666666663</v>
      </c>
      <c r="F133" s="8">
        <v>25</v>
      </c>
      <c r="G133" s="8">
        <v>132</v>
      </c>
      <c r="H133" s="9">
        <f>(93+101+106.53+103.3+142.02+86.91)/6</f>
        <v>105.46</v>
      </c>
      <c r="I133" s="16"/>
      <c r="J133" s="27">
        <v>82</v>
      </c>
      <c r="N133" s="8">
        <v>132</v>
      </c>
    </row>
    <row r="134" spans="1:14" s="12" customFormat="1" ht="36.75" customHeight="1" x14ac:dyDescent="0.3">
      <c r="A134" s="8">
        <v>134</v>
      </c>
      <c r="B134" s="8">
        <v>83</v>
      </c>
      <c r="C134" s="8" t="s">
        <v>117</v>
      </c>
      <c r="D134" s="13">
        <v>44118</v>
      </c>
      <c r="E134" s="14">
        <v>0.74652777777777779</v>
      </c>
      <c r="F134" s="8">
        <v>25</v>
      </c>
      <c r="G134" s="8">
        <v>133</v>
      </c>
      <c r="H134" s="9">
        <f>(104.5+86+83+98+91.6+118.06)/6</f>
        <v>96.860000000000014</v>
      </c>
      <c r="I134" s="16"/>
      <c r="J134" s="27">
        <v>83</v>
      </c>
      <c r="N134" s="8">
        <v>133</v>
      </c>
    </row>
    <row r="135" spans="1:14" s="12" customFormat="1" ht="36.75" customHeight="1" x14ac:dyDescent="0.3">
      <c r="A135" s="8">
        <v>135</v>
      </c>
      <c r="B135" s="8">
        <v>84</v>
      </c>
      <c r="C135" s="8" t="s">
        <v>129</v>
      </c>
      <c r="D135" s="13">
        <v>44119</v>
      </c>
      <c r="E135" s="14">
        <v>0.65069444444444446</v>
      </c>
      <c r="F135" s="8">
        <v>25</v>
      </c>
      <c r="G135" s="8">
        <v>134</v>
      </c>
      <c r="H135" s="9">
        <f>(95+106+100.7+89.81+97.54+99.21)/6</f>
        <v>98.043333333333337</v>
      </c>
      <c r="I135" s="16"/>
      <c r="J135" s="27">
        <v>84</v>
      </c>
      <c r="N135" s="8">
        <v>134</v>
      </c>
    </row>
    <row r="136" spans="1:14" s="12" customFormat="1" ht="24.75" customHeight="1" x14ac:dyDescent="0.3">
      <c r="A136" s="8">
        <v>136</v>
      </c>
      <c r="B136" s="8">
        <v>85</v>
      </c>
      <c r="C136" s="8" t="s">
        <v>130</v>
      </c>
      <c r="D136" s="13">
        <v>44119</v>
      </c>
      <c r="E136" s="14">
        <v>0.66180555555555554</v>
      </c>
      <c r="F136" s="8">
        <v>25</v>
      </c>
      <c r="G136" s="8">
        <v>135</v>
      </c>
      <c r="H136" s="9">
        <f>(96+95+101.2+99.26+101.64+93.11)/6</f>
        <v>97.701666666666654</v>
      </c>
      <c r="I136" s="16"/>
      <c r="J136" s="27">
        <v>85</v>
      </c>
      <c r="N136" s="8">
        <v>135</v>
      </c>
    </row>
    <row r="137" spans="1:14" s="12" customFormat="1" ht="24.75" customHeight="1" x14ac:dyDescent="0.3">
      <c r="A137" s="8">
        <v>137</v>
      </c>
      <c r="B137" s="8">
        <v>86</v>
      </c>
      <c r="C137" s="8" t="s">
        <v>132</v>
      </c>
      <c r="D137" s="13">
        <v>44119</v>
      </c>
      <c r="E137" s="14">
        <v>0.66805555555555562</v>
      </c>
      <c r="F137" s="8">
        <v>25</v>
      </c>
      <c r="G137" s="8">
        <v>136</v>
      </c>
      <c r="H137" s="9">
        <f>(78+81+99.21+103.7+110.65+120.78)/6</f>
        <v>98.889999999999986</v>
      </c>
      <c r="I137" s="17" t="s">
        <v>14</v>
      </c>
      <c r="J137" s="27">
        <v>86</v>
      </c>
      <c r="N137" s="8"/>
    </row>
    <row r="138" spans="1:14" s="12" customFormat="1" ht="24.75" customHeight="1" x14ac:dyDescent="0.3">
      <c r="A138" s="8">
        <v>138</v>
      </c>
      <c r="B138" s="8">
        <v>87</v>
      </c>
      <c r="C138" s="8" t="s">
        <v>135</v>
      </c>
      <c r="D138" s="13">
        <v>44119</v>
      </c>
      <c r="E138" s="14">
        <v>0.68055555555555547</v>
      </c>
      <c r="F138" s="8">
        <v>25</v>
      </c>
      <c r="G138" s="8">
        <v>137</v>
      </c>
      <c r="H138" s="9">
        <f>(82+88+99.34+98.83+105.65+101.05)/6</f>
        <v>95.811666666666667</v>
      </c>
      <c r="I138" s="16"/>
      <c r="J138" s="27">
        <v>87</v>
      </c>
      <c r="N138" s="8">
        <v>136</v>
      </c>
    </row>
    <row r="139" spans="1:14" s="12" customFormat="1" ht="24.75" customHeight="1" x14ac:dyDescent="0.3">
      <c r="A139" s="8">
        <v>144</v>
      </c>
      <c r="B139" s="8">
        <v>88</v>
      </c>
      <c r="C139" s="8" t="s">
        <v>136</v>
      </c>
      <c r="D139" s="13">
        <v>44119</v>
      </c>
      <c r="E139" s="14">
        <v>0.6875</v>
      </c>
      <c r="F139" s="8">
        <v>25</v>
      </c>
      <c r="G139" s="8"/>
      <c r="H139" s="9">
        <f>(99+100+100+101.08+107.55+97.35)/6</f>
        <v>100.83</v>
      </c>
      <c r="I139" s="16"/>
      <c r="J139" s="27">
        <v>88</v>
      </c>
      <c r="N139" s="8">
        <v>142</v>
      </c>
    </row>
    <row r="140" spans="1:14" s="12" customFormat="1" ht="24.75" customHeight="1" x14ac:dyDescent="0.3">
      <c r="A140" s="8">
        <v>141</v>
      </c>
      <c r="B140" s="8">
        <v>89</v>
      </c>
      <c r="C140" s="8" t="s">
        <v>141</v>
      </c>
      <c r="D140" s="13">
        <v>44119</v>
      </c>
      <c r="E140" s="14">
        <v>0.71527777777777779</v>
      </c>
      <c r="F140" s="8">
        <v>25</v>
      </c>
      <c r="G140" s="8">
        <v>139</v>
      </c>
      <c r="H140" s="9">
        <f>(93+91+101.14+95.88+95.54+93.57)/6</f>
        <v>95.021666666666661</v>
      </c>
      <c r="I140" s="16"/>
      <c r="J140" s="27">
        <v>89</v>
      </c>
      <c r="N140" s="8">
        <v>139</v>
      </c>
    </row>
    <row r="141" spans="1:14" s="12" customFormat="1" ht="24.75" customHeight="1" x14ac:dyDescent="0.3">
      <c r="A141" s="8">
        <v>142</v>
      </c>
      <c r="B141" s="8">
        <v>90</v>
      </c>
      <c r="C141" s="8" t="s">
        <v>143</v>
      </c>
      <c r="D141" s="13">
        <v>44119</v>
      </c>
      <c r="E141" s="14">
        <v>0.72222222222222221</v>
      </c>
      <c r="F141" s="8">
        <v>25</v>
      </c>
      <c r="G141" s="8">
        <v>140</v>
      </c>
      <c r="H141" s="9">
        <f>(101+100+110.6+108.77+94.59+97.02)/6</f>
        <v>101.99666666666667</v>
      </c>
      <c r="I141" s="16"/>
      <c r="J141" s="27">
        <v>90</v>
      </c>
      <c r="N141" s="8">
        <v>140</v>
      </c>
    </row>
    <row r="142" spans="1:14" s="12" customFormat="1" ht="24.75" customHeight="1" x14ac:dyDescent="0.3">
      <c r="A142" s="8">
        <v>143</v>
      </c>
      <c r="B142" s="8">
        <v>91</v>
      </c>
      <c r="C142" s="8" t="s">
        <v>146</v>
      </c>
      <c r="D142" s="13">
        <v>44119</v>
      </c>
      <c r="E142" s="14">
        <v>0.74652777777777779</v>
      </c>
      <c r="F142" s="8">
        <v>25</v>
      </c>
      <c r="G142" s="8">
        <v>141</v>
      </c>
      <c r="H142" s="9">
        <f>(94+97+105.1+101.64+126.29+96.1)/6</f>
        <v>103.355</v>
      </c>
      <c r="I142" s="16"/>
      <c r="J142" s="27">
        <v>91</v>
      </c>
      <c r="N142" s="8">
        <v>141</v>
      </c>
    </row>
    <row r="143" spans="1:14" s="12" customFormat="1" ht="24.75" customHeight="1" x14ac:dyDescent="0.3">
      <c r="A143" s="8">
        <v>145</v>
      </c>
      <c r="B143" s="8">
        <v>92</v>
      </c>
      <c r="C143" s="8" t="s">
        <v>150</v>
      </c>
      <c r="D143" s="13">
        <v>44119</v>
      </c>
      <c r="E143" s="14">
        <v>0.75</v>
      </c>
      <c r="F143" s="8">
        <v>25</v>
      </c>
      <c r="G143" s="8">
        <v>142</v>
      </c>
      <c r="H143" s="9">
        <f>(106.56+108.95+96.62+83+87+101.4)/6</f>
        <v>97.254999999999995</v>
      </c>
      <c r="I143" s="16"/>
      <c r="J143" s="27">
        <v>92</v>
      </c>
      <c r="N143" s="8">
        <v>143</v>
      </c>
    </row>
    <row r="144" spans="1:14" s="12" customFormat="1" ht="24.75" customHeight="1" x14ac:dyDescent="0.3">
      <c r="A144" s="8">
        <v>146</v>
      </c>
      <c r="B144" s="8">
        <v>93</v>
      </c>
      <c r="C144" s="8" t="s">
        <v>149</v>
      </c>
      <c r="D144" s="13">
        <v>44119</v>
      </c>
      <c r="E144" s="14">
        <v>0.75347222222222221</v>
      </c>
      <c r="F144" s="8">
        <v>25</v>
      </c>
      <c r="G144" s="8">
        <v>143</v>
      </c>
      <c r="H144" s="9">
        <f>(96.31+88.76+98.55+99+121+96.4)/6</f>
        <v>100.00333333333333</v>
      </c>
      <c r="I144" s="16"/>
      <c r="J144" s="27">
        <v>93</v>
      </c>
      <c r="N144" s="8">
        <v>144</v>
      </c>
    </row>
    <row r="145" spans="1:14" s="12" customFormat="1" ht="24.75" customHeight="1" x14ac:dyDescent="0.3">
      <c r="A145" s="8">
        <v>147</v>
      </c>
      <c r="B145" s="8">
        <v>94</v>
      </c>
      <c r="C145" s="8" t="s">
        <v>148</v>
      </c>
      <c r="D145" s="13">
        <v>44119</v>
      </c>
      <c r="E145" s="14">
        <v>0.75694444444444453</v>
      </c>
      <c r="F145" s="8">
        <v>25</v>
      </c>
      <c r="G145" s="8">
        <v>144</v>
      </c>
      <c r="H145" s="9">
        <f>(94.5+102+93+103.76+105.38+115.24)/6</f>
        <v>102.31333333333333</v>
      </c>
      <c r="I145" s="17" t="s">
        <v>14</v>
      </c>
      <c r="J145" s="27">
        <v>94</v>
      </c>
      <c r="N145" s="8"/>
    </row>
    <row r="146" spans="1:14" s="12" customFormat="1" ht="24.75" customHeight="1" x14ac:dyDescent="0.3">
      <c r="A146" s="8">
        <v>148</v>
      </c>
      <c r="B146" s="8">
        <v>95</v>
      </c>
      <c r="C146" s="8" t="s">
        <v>39</v>
      </c>
      <c r="D146" s="13">
        <v>44104</v>
      </c>
      <c r="E146" s="14">
        <v>0.64513888888888882</v>
      </c>
      <c r="F146" s="8">
        <v>20</v>
      </c>
      <c r="G146" s="8">
        <v>145</v>
      </c>
      <c r="H146" s="9">
        <f>(68+83+92.19+91.78+86.21+86.37)/6</f>
        <v>84.591666666666669</v>
      </c>
      <c r="I146" s="16"/>
      <c r="J146" s="27">
        <v>95</v>
      </c>
      <c r="N146" s="8">
        <v>145</v>
      </c>
    </row>
    <row r="147" spans="1:14" s="12" customFormat="1" ht="24.75" customHeight="1" x14ac:dyDescent="0.3">
      <c r="A147" s="8">
        <v>149</v>
      </c>
      <c r="B147" s="8">
        <v>96</v>
      </c>
      <c r="C147" s="8" t="s">
        <v>41</v>
      </c>
      <c r="D147" s="13">
        <v>44104</v>
      </c>
      <c r="E147" s="14">
        <v>0.69166666666666676</v>
      </c>
      <c r="F147" s="8">
        <v>20</v>
      </c>
      <c r="G147" s="8">
        <v>146</v>
      </c>
      <c r="H147" s="9">
        <f>(86+90+99.11+98.46+96.32+91.74)/6</f>
        <v>93.605000000000004</v>
      </c>
      <c r="I147" s="16"/>
      <c r="J147" s="27">
        <v>96</v>
      </c>
      <c r="N147" s="8">
        <v>146</v>
      </c>
    </row>
    <row r="148" spans="1:14" s="12" customFormat="1" ht="24.75" customHeight="1" x14ac:dyDescent="0.3">
      <c r="A148" s="8">
        <v>150</v>
      </c>
      <c r="B148" s="8">
        <v>97</v>
      </c>
      <c r="C148" s="15" t="s">
        <v>63</v>
      </c>
      <c r="D148" s="13">
        <v>44116</v>
      </c>
      <c r="E148" s="14">
        <v>0.4375</v>
      </c>
      <c r="F148" s="8">
        <v>20</v>
      </c>
      <c r="G148" s="8">
        <v>147</v>
      </c>
      <c r="H148" s="9">
        <f>(87+99+88.25+98.2+105.83+77.09)/6</f>
        <v>92.561666666666667</v>
      </c>
      <c r="I148" s="16"/>
      <c r="J148" s="27">
        <v>97</v>
      </c>
      <c r="N148" s="8">
        <v>147</v>
      </c>
    </row>
    <row r="149" spans="1:14" s="12" customFormat="1" ht="24.75" customHeight="1" x14ac:dyDescent="0.3">
      <c r="A149" s="8">
        <v>151</v>
      </c>
      <c r="B149" s="8">
        <v>98</v>
      </c>
      <c r="C149" s="8" t="s">
        <v>138</v>
      </c>
      <c r="D149" s="13">
        <v>44119</v>
      </c>
      <c r="E149" s="14">
        <v>0.69444444444444453</v>
      </c>
      <c r="F149" s="8">
        <v>20</v>
      </c>
      <c r="G149" s="8">
        <v>148</v>
      </c>
      <c r="H149" s="9">
        <f>(88+84+99.74+96.49+89.81+97.48)/6</f>
        <v>92.586666666666659</v>
      </c>
      <c r="I149" s="17" t="s">
        <v>15</v>
      </c>
      <c r="J149" s="27">
        <v>98</v>
      </c>
      <c r="N149" s="8">
        <v>148</v>
      </c>
    </row>
    <row r="150" spans="1:14" s="12" customFormat="1" ht="24.75" customHeight="1" x14ac:dyDescent="0.3">
      <c r="A150" s="8">
        <v>152</v>
      </c>
      <c r="B150" s="8">
        <v>99</v>
      </c>
      <c r="C150" s="8" t="s">
        <v>144</v>
      </c>
      <c r="D150" s="13">
        <v>44119</v>
      </c>
      <c r="E150" s="14">
        <v>0.72638888888888886</v>
      </c>
      <c r="F150" s="8">
        <v>20</v>
      </c>
      <c r="G150" s="8">
        <v>149</v>
      </c>
      <c r="H150" s="9">
        <f>(90.92+86+87+91.19+99.61+111.04)/6</f>
        <v>94.293333333333337</v>
      </c>
      <c r="I150" s="16"/>
      <c r="J150" s="27">
        <v>99</v>
      </c>
      <c r="N150" s="8">
        <v>149</v>
      </c>
    </row>
  </sheetData>
  <sortState ref="B13:K163">
    <sortCondition ref="B163"/>
  </sortState>
  <mergeCells count="14">
    <mergeCell ref="J27:J51"/>
    <mergeCell ref="J6:J26"/>
    <mergeCell ref="J3:J5"/>
    <mergeCell ref="B1:J1"/>
    <mergeCell ref="H3:H5"/>
    <mergeCell ref="I3:I5"/>
    <mergeCell ref="A2:F2"/>
    <mergeCell ref="A3:A5"/>
    <mergeCell ref="B3:B5"/>
    <mergeCell ref="C3:C5"/>
    <mergeCell ref="D3:D5"/>
    <mergeCell ref="E3:E5"/>
    <mergeCell ref="F3:F5"/>
    <mergeCell ref="G3:G5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Адресный перечень</vt:lpstr>
      <vt:lpstr>'Адресный перечень'!Заголовки_для_печати</vt:lpstr>
      <vt:lpstr>'Адресный перечень'!Область_печати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2024-09-12T02:29:49Z</dcterms:modified>
</cp:coreProperties>
</file>